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7215" windowHeight="4575" tabRatio="825" activeTab="2"/>
  </bookViews>
  <sheets>
    <sheet name="Intro" sheetId="1" r:id="rId1"/>
    <sheet name="Summary" sheetId="2" r:id="rId2"/>
    <sheet name="Projects Pipeline" sheetId="3" r:id="rId3"/>
    <sheet name="Cash Pipeline" sheetId="4" r:id="rId4"/>
    <sheet name="Awards" sheetId="5" r:id="rId5"/>
    <sheet name="Awards Analysis" sheetId="6" r:id="rId6"/>
    <sheet name="Losses" sheetId="7" r:id="rId7"/>
    <sheet name="Agrees Due" sheetId="8" r:id="rId8"/>
    <sheet name="Proposals Due" sheetId="9" r:id="rId9"/>
    <sheet name="EOI" sheetId="10" r:id="rId10"/>
    <sheet name="Leads 02" sheetId="11" r:id="rId11"/>
    <sheet name="NO BID" sheetId="12" r:id="rId12"/>
    <sheet name="Sales Plan 2003" sheetId="13" r:id="rId13"/>
  </sheets>
  <definedNames>
    <definedName name="_xlnm._FilterDatabase" localSheetId="4" hidden="1">'Awards'!$A$2:$L$28</definedName>
    <definedName name="_xlnm.Print_Area" localSheetId="1">'Summary'!$1:$38</definedName>
  </definedNames>
  <calcPr fullCalcOnLoad="1"/>
  <pivotCaches>
    <pivotCache cacheId="3" r:id="rId14"/>
  </pivotCaches>
</workbook>
</file>

<file path=xl/comments11.xml><?xml version="1.0" encoding="utf-8"?>
<comments xmlns="http://schemas.openxmlformats.org/spreadsheetml/2006/main">
  <authors>
    <author>Michael Kozloff</author>
  </authors>
  <commentList>
    <comment ref="L85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Встречался Андропов</t>
        </r>
      </text>
    </comment>
  </commentList>
</comments>
</file>

<file path=xl/comments3.xml><?xml version="1.0" encoding="utf-8"?>
<comments xmlns="http://schemas.openxmlformats.org/spreadsheetml/2006/main">
  <authors>
    <author>Michael Kozloff</author>
    <author>Konstantin Zavodnik</author>
  </authors>
  <commentList>
    <comment ref="R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Project Manager Assignment Order
Указать номер приказа в примечании к полю</t>
        </r>
      </text>
    </comment>
    <comment ref="Q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Указать номер договора в примечании к полю</t>
        </r>
      </text>
    </comment>
    <comment ref="F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до стадии Ongoing - указывается Sales/Account Manager
на стадии Ongoing и далее - указывается Project Manager</t>
        </r>
      </text>
    </comment>
    <comment ref="G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Стоимость проекта (без НДС)</t>
        </r>
      </text>
    </comment>
    <comment ref="H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Для Awards Pending проектов - вероятность победы</t>
        </r>
      </text>
    </comment>
    <comment ref="K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Описание текущего этапа</t>
        </r>
      </text>
    </comment>
    <comment ref="L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% завершенности всего проекта
</t>
        </r>
      </text>
    </comment>
    <comment ref="N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Request for Proposal / SR от клиента</t>
        </r>
      </text>
    </comment>
    <comment ref="O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Наше выражение заинтересованности (Expression of Interest)</t>
        </r>
      </text>
    </comment>
    <comment ref="S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Feature List</t>
        </r>
      </text>
    </comment>
    <comment ref="P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Наше предложение (Proposal)</t>
        </r>
      </text>
    </comment>
    <comment ref="M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Срок сдачи этапа или всего проекта</t>
        </r>
      </text>
    </comment>
    <comment ref="Q32" authorId="1">
      <text>
        <r>
          <rPr>
            <b/>
            <sz val="8"/>
            <rFont val="Tahoma"/>
            <family val="0"/>
          </rPr>
          <t>Konstantin Zavodnik:</t>
        </r>
        <r>
          <rPr>
            <sz val="8"/>
            <rFont val="Tahoma"/>
            <family val="0"/>
          </rPr>
          <t xml:space="preserve">
Договор № 22/02/1 от 19-08-2002</t>
        </r>
      </text>
    </comment>
    <comment ref="H24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Итог с учетом вероятностей</t>
        </r>
      </text>
    </comment>
    <comment ref="J6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rank используется на случай, если 1-е значение в списке "весит" больше 20%, отведенных для категории А
</t>
        </r>
      </text>
    </comment>
  </commentList>
</comments>
</file>

<file path=xl/comments4.xml><?xml version="1.0" encoding="utf-8"?>
<comments xmlns="http://schemas.openxmlformats.org/spreadsheetml/2006/main">
  <authors>
    <author>Michael Kozloff</author>
    <author>Михаил Козлов</author>
  </authors>
  <commentList>
    <comment ref="F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до стадии Ongoing - указывается Sales/Account Manager
на стадии Ongoing и далее - указывается Project Manager</t>
        </r>
      </text>
    </comment>
    <comment ref="G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Стоимость проекта (без НДС)</t>
        </r>
      </text>
    </comment>
    <comment ref="AC9" authorId="1">
      <text>
        <r>
          <rPr>
            <b/>
            <sz val="8"/>
            <rFont val="Tahoma"/>
            <family val="0"/>
          </rPr>
          <t>Михаил Козлов:</t>
        </r>
        <r>
          <rPr>
            <sz val="8"/>
            <rFont val="Tahoma"/>
            <family val="0"/>
          </rPr>
          <t xml:space="preserve">
3 contracts
20% @W1
80% @W2</t>
        </r>
      </text>
    </comment>
    <comment ref="Z19" authorId="1">
      <text>
        <r>
          <rPr>
            <b/>
            <sz val="8"/>
            <rFont val="Tahoma"/>
            <family val="0"/>
          </rPr>
          <t>Михаил Козлов:</t>
        </r>
        <r>
          <rPr>
            <sz val="8"/>
            <rFont val="Tahoma"/>
            <family val="0"/>
          </rPr>
          <t xml:space="preserve">
MARS claims 50% has been paid !!???</t>
        </r>
      </text>
    </comment>
  </commentList>
</comments>
</file>

<file path=xl/comments7.xml><?xml version="1.0" encoding="utf-8"?>
<comments xmlns="http://schemas.openxmlformats.org/spreadsheetml/2006/main">
  <authors>
    <author>Michael Kozloff</author>
  </authors>
  <commentList>
    <comment ref="K25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а) соответствие предложения техническому заданию;
б) оригинальность, новизна и функциональность (эргономика, структура, общая методология и возможности) системы;
в) опыт разработчика в создании аналогичных систем, в том числе для российских государственных органов;
в) стоимость предложения.</t>
        </r>
      </text>
    </comment>
  </commentList>
</comments>
</file>

<file path=xl/sharedStrings.xml><?xml version="1.0" encoding="utf-8"?>
<sst xmlns="http://schemas.openxmlformats.org/spreadsheetml/2006/main" count="1663" uniqueCount="460">
  <si>
    <t>ВА</t>
  </si>
  <si>
    <t>TF</t>
  </si>
  <si>
    <t>Date Updated/Submttd</t>
  </si>
  <si>
    <t>FU - Follow-Up projects; F - Finder; T - Tender</t>
  </si>
  <si>
    <t>ВА/ОШ</t>
  </si>
  <si>
    <t>BP Consulting (F)</t>
  </si>
  <si>
    <t>Project Follow-up</t>
  </si>
  <si>
    <t>OM</t>
  </si>
  <si>
    <t>KZ</t>
  </si>
  <si>
    <t>VA</t>
  </si>
  <si>
    <t>AV</t>
  </si>
  <si>
    <t>Sandvik Steel</t>
  </si>
  <si>
    <t>Letter</t>
  </si>
  <si>
    <t>Call</t>
  </si>
  <si>
    <t>Ongoing Projects</t>
  </si>
  <si>
    <t>Finished, but not Closed</t>
  </si>
  <si>
    <t>ROCIT Support</t>
  </si>
  <si>
    <t>7th С Delivery Call-centre</t>
  </si>
  <si>
    <t>Ongoing Technical Support</t>
  </si>
  <si>
    <t>Finder</t>
  </si>
  <si>
    <t>Awards Pending Projects</t>
  </si>
  <si>
    <t>AS</t>
  </si>
  <si>
    <t>KB</t>
  </si>
  <si>
    <t>ABCT</t>
  </si>
  <si>
    <t>Ойл Центр</t>
  </si>
  <si>
    <t>АД Александр Дубов
АЗ Андрей Соков
АС Анна Сумина
ЕК Елена Королева
КБ Ксения Бореева
КЗ Константин Затомин
МаК - Максим Крылов
МК Михаил Котляров
ОМ Олег Мастерков
ОШ Олег Шнитке</t>
  </si>
  <si>
    <t>Proactive Catalog (FU, T)</t>
  </si>
  <si>
    <t>Proactive Catalog (F)</t>
  </si>
  <si>
    <t>Summary - сводный отчет для руководства</t>
  </si>
  <si>
    <t>Данный простой пример иллюстрирует реализацию системы учитывающей деятельность в воронке продаж (разработка программного обеспечения на заказ)</t>
  </si>
  <si>
    <t>Все имена, названия и цифры вымышлены. Любые совпадения с реальными фактами случайны.</t>
  </si>
  <si>
    <t>Projects Pipeline - сводная таблица ожидаемых, выполняемых и завершенных в текущем периоде проектов</t>
  </si>
  <si>
    <t>Cash Pipeline - прогноз движения денежных средств (для контроля платежей)</t>
  </si>
  <si>
    <t>Awards - выигранные проекты</t>
  </si>
  <si>
    <t>Awards Analysis - простой пример использования сводных таблиц (pivot tables) для анализа массивов данных</t>
  </si>
  <si>
    <t>Losses - проигранные проекты</t>
  </si>
  <si>
    <t>Agrees Due - перечень договоров, которые необходимо подготовить к сроку…</t>
  </si>
  <si>
    <t>Proposals Due - перечень предложений, которые необходимо подготовить к сроку…</t>
  </si>
  <si>
    <t>EOI Due - перечень выражений заинтересованности в участии в проектах, которые необходимо подготовить к сроку…</t>
  </si>
  <si>
    <t>Leads 02 - наводки в текущем периоде</t>
  </si>
  <si>
    <t>No bid - проекты, в которых решено не участвовать</t>
  </si>
  <si>
    <t>Markets &amp; Players - данные по рынкам</t>
  </si>
  <si>
    <t>Sales Plan 2003 - прогноз продаж на следующий период</t>
  </si>
  <si>
    <t>MIS (FU)</t>
  </si>
  <si>
    <t>Business Analisys (F)</t>
  </si>
  <si>
    <t>Intranet (F)</t>
  </si>
  <si>
    <t>Penta Minings</t>
  </si>
  <si>
    <t>Purchase Orders Web Interface (FU)</t>
  </si>
  <si>
    <t>iShop Update (FU)</t>
  </si>
  <si>
    <t>Management Support System (F)</t>
  </si>
  <si>
    <t xml:space="preserve">Новомедиа </t>
  </si>
  <si>
    <t xml:space="preserve">123банк </t>
  </si>
  <si>
    <t>Хайхим</t>
  </si>
  <si>
    <t xml:space="preserve">Министерство развития </t>
  </si>
  <si>
    <t>MIS Development (F)</t>
  </si>
  <si>
    <t>Web Portal Redesign (F)</t>
  </si>
  <si>
    <t>Plant Management System (FU)</t>
  </si>
  <si>
    <t>CMS / MIS</t>
  </si>
  <si>
    <t>Intranet Custody System (F)</t>
  </si>
  <si>
    <t>TQM Policy Вме (F)</t>
  </si>
  <si>
    <t>Intranet HRM Portal (FU)</t>
  </si>
  <si>
    <t>HRM (F)</t>
  </si>
  <si>
    <t>Leads as for &lt;&gt;</t>
  </si>
  <si>
    <t>Hyumdai Elevators</t>
  </si>
  <si>
    <t>MIS</t>
  </si>
  <si>
    <t>Customer's Name</t>
  </si>
  <si>
    <t>Oppty's Details</t>
  </si>
  <si>
    <t>Mototronic</t>
  </si>
  <si>
    <t>Новопул</t>
  </si>
  <si>
    <t>MIS with OLAP</t>
  </si>
  <si>
    <t>eCommerce (FU)</t>
  </si>
  <si>
    <t>Мото и Вело</t>
  </si>
  <si>
    <t>RAFF</t>
  </si>
  <si>
    <t>ExpoNow</t>
  </si>
  <si>
    <t>Поиск бюджета</t>
  </si>
  <si>
    <t>Тестирование</t>
  </si>
  <si>
    <t>Отладка</t>
  </si>
  <si>
    <t>1. Last Week's Awards:</t>
  </si>
  <si>
    <t>2. Last Week's Losses:</t>
  </si>
  <si>
    <t>3. Awards Pending Total:</t>
  </si>
  <si>
    <t>DGCN System (FU)</t>
  </si>
  <si>
    <t>Portal / IT Consulting (FU)</t>
  </si>
  <si>
    <t>Cstmr Plan USD, Net of VAT</t>
  </si>
  <si>
    <t>Proba-
bility</t>
  </si>
  <si>
    <t>Technical Support</t>
  </si>
  <si>
    <t>Back-office IS / Consulting &amp; Development</t>
  </si>
  <si>
    <t>Finished</t>
  </si>
  <si>
    <t>AP</t>
  </si>
  <si>
    <t>Portal (FU)</t>
  </si>
  <si>
    <t>Portal Update (FU)</t>
  </si>
  <si>
    <t>+</t>
  </si>
  <si>
    <t>№</t>
  </si>
  <si>
    <t>Follow-Up</t>
  </si>
  <si>
    <t>Рамочный на внедрение и интеграцию</t>
  </si>
  <si>
    <t>Agreements Due</t>
  </si>
  <si>
    <t>Mailing Lists Development (FU)</t>
  </si>
  <si>
    <t>MS SQL 2000</t>
  </si>
  <si>
    <t>W1</t>
  </si>
  <si>
    <t>W3</t>
  </si>
  <si>
    <t>W4</t>
  </si>
  <si>
    <t>W2</t>
  </si>
  <si>
    <t>6. Opportunities</t>
  </si>
  <si>
    <t>7. No Bids</t>
  </si>
  <si>
    <t>MK/DY</t>
  </si>
  <si>
    <t>MK/ОШ</t>
  </si>
  <si>
    <t>Поиск на сайте</t>
  </si>
  <si>
    <t>Web Portal (FU)</t>
  </si>
  <si>
    <t>Portal Development (F)</t>
  </si>
  <si>
    <t>eCommerce (F)</t>
  </si>
  <si>
    <r>
      <t xml:space="preserve">Quality Management System
</t>
    </r>
    <r>
      <rPr>
        <i/>
        <sz val="10"/>
        <rFont val="Arial Cyr"/>
        <family val="0"/>
      </rPr>
      <t>% Docs are completed</t>
    </r>
  </si>
  <si>
    <t>PrID</t>
  </si>
  <si>
    <t>Date Updated</t>
  </si>
  <si>
    <t>Customer</t>
  </si>
  <si>
    <t>Project Name</t>
  </si>
  <si>
    <t>Project Budget, no VAT</t>
  </si>
  <si>
    <t>Current Stage</t>
  </si>
  <si>
    <t>FL</t>
  </si>
  <si>
    <t>Prj Plan</t>
  </si>
  <si>
    <t xml:space="preserve">SRS </t>
  </si>
  <si>
    <t>SAS</t>
  </si>
  <si>
    <t>Reqruitment Requirements</t>
  </si>
  <si>
    <t>Traveling Requirements</t>
  </si>
  <si>
    <t>Misc Notes</t>
  </si>
  <si>
    <t>Consulting (F)</t>
  </si>
  <si>
    <t>t&amp;m</t>
  </si>
  <si>
    <t>VA/OS</t>
  </si>
  <si>
    <t>(blank)</t>
  </si>
  <si>
    <t>(All)</t>
  </si>
  <si>
    <t>Data</t>
  </si>
  <si>
    <t>Total</t>
  </si>
  <si>
    <t>Sum of Consulting</t>
  </si>
  <si>
    <t>Total Sum of Consulting</t>
  </si>
  <si>
    <t>Sum of Devlpmnt</t>
  </si>
  <si>
    <t>Sum of Support</t>
  </si>
  <si>
    <t>Total Sum of Devlpmnt</t>
  </si>
  <si>
    <t>Total Sum of Support</t>
  </si>
  <si>
    <t>Portal Design (FU, T)</t>
  </si>
  <si>
    <t>Mobile Group</t>
  </si>
  <si>
    <t>Росторг</t>
  </si>
  <si>
    <t>Support Extention (FU)</t>
  </si>
  <si>
    <t>Микрострой</t>
  </si>
  <si>
    <t>ВнешконтрактБурСервисГеологияСбытКонтроль</t>
  </si>
  <si>
    <t>WW Networks</t>
  </si>
  <si>
    <t>SFA IS (F)</t>
  </si>
  <si>
    <t>SCM IS: HR (F)</t>
  </si>
  <si>
    <t>SCM IS; SFA IS; SWD</t>
  </si>
  <si>
    <t>Opportunities</t>
  </si>
  <si>
    <t>СбытСтрой</t>
  </si>
  <si>
    <t>Красный Котловщик</t>
  </si>
  <si>
    <t>РБВТех</t>
  </si>
  <si>
    <t>www.cnn.com</t>
  </si>
  <si>
    <t xml:space="preserve">МГТЧС </t>
  </si>
  <si>
    <t>Named Bank</t>
  </si>
  <si>
    <t>The Medical Council</t>
  </si>
  <si>
    <t>Altamista (F)</t>
  </si>
  <si>
    <t xml:space="preserve">Artemis </t>
  </si>
  <si>
    <t>SCM IS. HRM (FU)</t>
  </si>
  <si>
    <t>Fun Club Portal (FU)</t>
  </si>
  <si>
    <t>Нефть-Депо</t>
  </si>
  <si>
    <t>Portal (T)</t>
  </si>
  <si>
    <t>HRM IS</t>
  </si>
  <si>
    <t>BigAtomsProvider</t>
  </si>
  <si>
    <t>РТР</t>
  </si>
  <si>
    <t>B2B; -&gt; HRM IS</t>
  </si>
  <si>
    <t>Тристан и Ко</t>
  </si>
  <si>
    <t>CommonSib</t>
  </si>
  <si>
    <t>Премиум</t>
  </si>
  <si>
    <t>Банзай Груп</t>
  </si>
  <si>
    <t>Touring IS (F)</t>
  </si>
  <si>
    <t>AV Ltd.</t>
  </si>
  <si>
    <t>ESport</t>
  </si>
  <si>
    <t>Omega-Bank</t>
  </si>
  <si>
    <t>eLast</t>
  </si>
  <si>
    <t>Cats Club IS (F)</t>
  </si>
  <si>
    <t>COSTRA Web Portal (F)</t>
  </si>
  <si>
    <t>Instore Holding</t>
  </si>
  <si>
    <t>Portal for Viva-Forest (F)</t>
  </si>
  <si>
    <t>Intl Food Company</t>
  </si>
  <si>
    <t>Timberinvest</t>
  </si>
  <si>
    <t>Closed in the FY</t>
  </si>
  <si>
    <t>EOI</t>
  </si>
  <si>
    <t>PRP</t>
  </si>
  <si>
    <t>Contract(s)</t>
  </si>
  <si>
    <t>RFP/ SR</t>
  </si>
  <si>
    <t>Contracts/ Administration Notes</t>
  </si>
  <si>
    <t>Economics Strategies Portal (T)</t>
  </si>
  <si>
    <t>Test Plan</t>
  </si>
  <si>
    <t>Meeting</t>
  </si>
  <si>
    <t>OSh</t>
  </si>
  <si>
    <t>VT</t>
  </si>
  <si>
    <t>Media Lot</t>
  </si>
  <si>
    <t>IZ</t>
  </si>
  <si>
    <t>Portal Update/Dev (FU)</t>
  </si>
  <si>
    <t>Virtual Shop (F)</t>
  </si>
  <si>
    <t>AZ</t>
  </si>
  <si>
    <t>AD</t>
  </si>
  <si>
    <t>-</t>
  </si>
  <si>
    <t>OS</t>
  </si>
  <si>
    <t>N/A</t>
  </si>
  <si>
    <t>PMAO</t>
  </si>
  <si>
    <t xml:space="preserve">Territory Sales Management Systems </t>
  </si>
  <si>
    <t>Closed</t>
  </si>
  <si>
    <t>Done</t>
  </si>
  <si>
    <t>Acc Mngr</t>
  </si>
  <si>
    <t>A/P Mngr</t>
  </si>
  <si>
    <t>Portal Reengenering (FU)</t>
  </si>
  <si>
    <t>Stage/Prj Dlvry Date</t>
  </si>
  <si>
    <t>Approved Date</t>
  </si>
  <si>
    <t>Portal Consulting (FU)</t>
  </si>
  <si>
    <t>% Prj Completed</t>
  </si>
  <si>
    <t>Development</t>
  </si>
  <si>
    <t>Steering Commetee</t>
  </si>
  <si>
    <t>Portal Development (FU)</t>
  </si>
  <si>
    <t>IT Consulting (FU)</t>
  </si>
  <si>
    <t>Declined</t>
  </si>
  <si>
    <t>iShop / Call Center (FU)</t>
  </si>
  <si>
    <t>?</t>
  </si>
  <si>
    <t>Misc Systems</t>
  </si>
  <si>
    <t>IBC Bank</t>
  </si>
  <si>
    <t>General (F)</t>
  </si>
  <si>
    <t>Intranet (FU)</t>
  </si>
  <si>
    <t>IZ/KB</t>
  </si>
  <si>
    <t>RosAgro</t>
  </si>
  <si>
    <t>Opportunity</t>
  </si>
  <si>
    <t>Proba-bility</t>
  </si>
  <si>
    <t>eCommerce / 123 Ltd. Cosmetics Catlog (F)</t>
  </si>
  <si>
    <t>MaK</t>
  </si>
  <si>
    <t>MPM Decor</t>
  </si>
  <si>
    <t>Cherepanov</t>
  </si>
  <si>
    <t>eCommerce / Cosa S.P. eShop (F)</t>
  </si>
  <si>
    <t>eCommerce / Qwerty Overseas Portal (F)</t>
  </si>
  <si>
    <t>Lead by Date</t>
  </si>
  <si>
    <t>Prp Submitted</t>
  </si>
  <si>
    <t>Cycle, Days</t>
  </si>
  <si>
    <t>Average</t>
  </si>
  <si>
    <t>days</t>
  </si>
  <si>
    <t>Median</t>
  </si>
  <si>
    <t>IT Consulting (F)</t>
  </si>
  <si>
    <t>Expressions of Interest Submitted</t>
  </si>
  <si>
    <t>Average Prj:</t>
  </si>
  <si>
    <t>AS/MK</t>
  </si>
  <si>
    <t>Digital Casting System (FU)</t>
  </si>
  <si>
    <t>TQM Policy Development (F)</t>
  </si>
  <si>
    <t>eLearning Portal (F)</t>
  </si>
  <si>
    <t>Portal + CMS (F)</t>
  </si>
  <si>
    <t>Staffing for IT Department (F)</t>
  </si>
  <si>
    <t>Flash Design (F)</t>
  </si>
  <si>
    <t>Electronic Russia 2002 Bids (F)</t>
  </si>
  <si>
    <t>Government Portal (FU)</t>
  </si>
  <si>
    <t>MK/OS</t>
  </si>
  <si>
    <t>MK/EK</t>
  </si>
  <si>
    <t>AZ/VA</t>
  </si>
  <si>
    <t>MK/KZ</t>
  </si>
  <si>
    <t>ООО "Шоколадный Продукт" MIS</t>
  </si>
  <si>
    <t>MIS Support (FU)</t>
  </si>
  <si>
    <t>MIS Update (FU)</t>
  </si>
  <si>
    <t>MIS Update /Pocket PC/ (FU)</t>
  </si>
  <si>
    <t>MIS Update / Pocket PC/ (FU)</t>
  </si>
  <si>
    <t>Portal Update (F)</t>
  </si>
  <si>
    <t>Portal Marketing Campaign</t>
  </si>
  <si>
    <t>Portal Support (FU)</t>
  </si>
  <si>
    <t>Portal Support (F)</t>
  </si>
  <si>
    <t>Portal (F)</t>
  </si>
  <si>
    <t>Portal Dev (F)</t>
  </si>
  <si>
    <t>Portal Development (Finder)</t>
  </si>
  <si>
    <t>7th С Portal Update (FU)</t>
  </si>
  <si>
    <t>Corp.Portals</t>
  </si>
  <si>
    <t>2 Portals (F)</t>
  </si>
  <si>
    <t>Web Portal design, hosting and support (F)</t>
  </si>
  <si>
    <t>Web Portal design and support (F)</t>
  </si>
  <si>
    <t>Portal + CRM (F)</t>
  </si>
  <si>
    <t>Web Portals design, development and support (F)</t>
  </si>
  <si>
    <t>Portal Dev (T)</t>
  </si>
  <si>
    <t>Portal Redesign (FU)</t>
  </si>
  <si>
    <t>Portal, Design for Client/Bank (T)</t>
  </si>
  <si>
    <t>eCommerce / ABC inc. Portal (F)</t>
  </si>
  <si>
    <t>Job Portal TOR Dev (F)</t>
  </si>
  <si>
    <t>Web Portal design, hosting and support</t>
  </si>
  <si>
    <t>Web Portal design and support</t>
  </si>
  <si>
    <t>Web Portals design, development and support</t>
  </si>
  <si>
    <t>Portal Redуsign (FU)</t>
  </si>
  <si>
    <t>Portal Redesign (F)</t>
  </si>
  <si>
    <t>Portal Update</t>
  </si>
  <si>
    <t>Portal Content Support (F)</t>
  </si>
  <si>
    <t>MIS Support &amp; Maintenance (FU)</t>
  </si>
  <si>
    <t>Новамедия</t>
  </si>
  <si>
    <t>ANetworks</t>
  </si>
  <si>
    <t>ANetworks Portal Redesign (FU)</t>
  </si>
  <si>
    <t>Ромул</t>
  </si>
  <si>
    <t>Продолжается</t>
  </si>
  <si>
    <t>Бизнес анализ</t>
  </si>
  <si>
    <t>Установлен</t>
  </si>
  <si>
    <t>Анализ</t>
  </si>
  <si>
    <t>Контрактование</t>
  </si>
  <si>
    <t>Intranet Portal</t>
  </si>
  <si>
    <t>Intranet Portal (FU)</t>
  </si>
  <si>
    <t>Business Consulting (F)</t>
  </si>
  <si>
    <t>Intranet Portal (F)</t>
  </si>
  <si>
    <t>Sales Database (F)</t>
  </si>
  <si>
    <t>Sales Database (F) (F)</t>
  </si>
  <si>
    <t>Portal Update to Intranet Portal (F)</t>
  </si>
  <si>
    <t>Portal Update to Intranet Portal</t>
  </si>
  <si>
    <t>Норман Кук</t>
  </si>
  <si>
    <t>РТВ Portal Update (FU)</t>
  </si>
  <si>
    <t>РТВ</t>
  </si>
  <si>
    <t>БРТ Support</t>
  </si>
  <si>
    <t>БРТ</t>
  </si>
  <si>
    <t>Бузал</t>
  </si>
  <si>
    <t>ФОРТ</t>
  </si>
  <si>
    <t>ФОРТ (F)</t>
  </si>
  <si>
    <t>Профсоюз Докеров</t>
  </si>
  <si>
    <t>FineArts</t>
  </si>
  <si>
    <t>микроТВ</t>
  </si>
  <si>
    <t>Группа Дело</t>
  </si>
  <si>
    <t>Патиссон</t>
  </si>
  <si>
    <t>МУГР</t>
  </si>
  <si>
    <t>Кольварс</t>
  </si>
  <si>
    <t>TOTAL-Group</t>
  </si>
  <si>
    <t>Министерство Счастья</t>
  </si>
  <si>
    <t>Министерство Объединения</t>
  </si>
  <si>
    <t>Министерство Развития</t>
  </si>
  <si>
    <t>Наш Спорт</t>
  </si>
  <si>
    <t>Газинтрастбанк</t>
  </si>
  <si>
    <t>АКС</t>
  </si>
  <si>
    <t>Московские Гиперсупермаркеты</t>
  </si>
  <si>
    <t>Министерство Животноводства</t>
  </si>
  <si>
    <t>ИКС</t>
  </si>
  <si>
    <t>АБВГД Консорциум</t>
  </si>
  <si>
    <t>Sales Planning Consulting</t>
  </si>
  <si>
    <t>Promotion Management System (F)</t>
  </si>
  <si>
    <t>MS Project 2002</t>
  </si>
  <si>
    <t>Portal Design (F)</t>
  </si>
  <si>
    <t>KZ &gt; OS</t>
  </si>
  <si>
    <t>KZ &gt; VT</t>
  </si>
  <si>
    <t>Factory Management System (FU)</t>
  </si>
  <si>
    <t>Portal</t>
  </si>
  <si>
    <t>Projects Control System</t>
  </si>
  <si>
    <t>Awards</t>
  </si>
  <si>
    <t>ОАО "Шоколадный Продукт"</t>
  </si>
  <si>
    <t>ООО "Московские Колбасы"</t>
  </si>
  <si>
    <t>123 Банк</t>
  </si>
  <si>
    <t>ЗАО "Московские Магазины"</t>
  </si>
  <si>
    <t>НПФ "Приятная Старость"</t>
  </si>
  <si>
    <t>Товары в Розницу</t>
  </si>
  <si>
    <t>ООО "Шоколадный Продукт"</t>
  </si>
  <si>
    <t xml:space="preserve">ООО "Шоколадный Продукт" </t>
  </si>
  <si>
    <t>ОНВ</t>
  </si>
  <si>
    <t>Тяжелая Сталь</t>
  </si>
  <si>
    <t>Московский Фонд Озеленения Площадей</t>
  </si>
  <si>
    <t>ГУП Логистика</t>
  </si>
  <si>
    <t>ЗАО "Высокая Дистрибуция"</t>
  </si>
  <si>
    <t>ЗАО "Высокая Дистрибуция" IT Development (FU)</t>
  </si>
  <si>
    <t xml:space="preserve">ЗАО "Высокая Дистрибуция" </t>
  </si>
  <si>
    <t>Министерство Благоденствия</t>
  </si>
  <si>
    <t>Министерство Благоденствия (Labor Ministry)</t>
  </si>
  <si>
    <t>ВнешБанк</t>
  </si>
  <si>
    <t>Bell-Packard</t>
  </si>
  <si>
    <t>Рэкстор</t>
  </si>
  <si>
    <t>Разводы</t>
  </si>
  <si>
    <t>Разводы (FU)</t>
  </si>
  <si>
    <t>Компания АБВ</t>
  </si>
  <si>
    <t>Компания АБВ.Ru</t>
  </si>
  <si>
    <t>Ждем решения</t>
  </si>
  <si>
    <t>Проектирование</t>
  </si>
  <si>
    <t>Consulting</t>
  </si>
  <si>
    <t>Devlpmnt</t>
  </si>
  <si>
    <t>Support</t>
  </si>
  <si>
    <t>ЕК &gt; KZ</t>
  </si>
  <si>
    <t>MacPromBank</t>
  </si>
  <si>
    <t>F, T</t>
  </si>
  <si>
    <t>KB &gt; KZ</t>
  </si>
  <si>
    <t>KB&gt;KZ</t>
  </si>
  <si>
    <t>eCommerce / Auction</t>
  </si>
  <si>
    <t>Year Total USD, Net of VAT</t>
  </si>
  <si>
    <t>Portal++</t>
  </si>
  <si>
    <t>Tender</t>
  </si>
  <si>
    <t>FU</t>
  </si>
  <si>
    <t>Mapping Solution (F)</t>
  </si>
  <si>
    <t>AS/KB/ KZ</t>
  </si>
  <si>
    <t>Project Title/Description</t>
  </si>
  <si>
    <t>Budget</t>
  </si>
  <si>
    <t>Submitted</t>
  </si>
  <si>
    <t>Status</t>
  </si>
  <si>
    <t>Mechanism</t>
  </si>
  <si>
    <t>Due</t>
  </si>
  <si>
    <t>Expressions of Interest Due</t>
  </si>
  <si>
    <t>Client</t>
  </si>
  <si>
    <t>Budget (000)</t>
  </si>
  <si>
    <t>TOTAL</t>
  </si>
  <si>
    <t>Total Budget</t>
  </si>
  <si>
    <t>#</t>
  </si>
  <si>
    <t>Manager</t>
  </si>
  <si>
    <t>Total:</t>
  </si>
  <si>
    <t>NO BID DECISIONS</t>
  </si>
  <si>
    <t>Reason</t>
  </si>
  <si>
    <t>Proposals Due</t>
  </si>
  <si>
    <t>Projects Control, eLearning (F)</t>
  </si>
  <si>
    <t>Test Task (F)</t>
  </si>
  <si>
    <t>Losses</t>
  </si>
  <si>
    <t>Date</t>
  </si>
  <si>
    <t>Summary</t>
  </si>
  <si>
    <t>Value</t>
  </si>
  <si>
    <t>Quantity</t>
  </si>
  <si>
    <t>NA</t>
  </si>
  <si>
    <t>Lead Mngr</t>
  </si>
  <si>
    <t>MK</t>
  </si>
  <si>
    <t>MK/OM</t>
  </si>
  <si>
    <t>Call Center/CRM/Workflow system</t>
  </si>
  <si>
    <t>???</t>
  </si>
  <si>
    <t>MK/AD</t>
  </si>
  <si>
    <t>ОМ</t>
  </si>
  <si>
    <t>CMS</t>
  </si>
  <si>
    <t>ОШ</t>
  </si>
  <si>
    <t>CRM</t>
  </si>
  <si>
    <t>DigiCasting</t>
  </si>
  <si>
    <t>ЕК</t>
  </si>
  <si>
    <t>Payroll (Scala)</t>
  </si>
  <si>
    <t>Probability</t>
  </si>
  <si>
    <t>МК</t>
  </si>
  <si>
    <t>КБ</t>
  </si>
  <si>
    <t>АЗ/ВА</t>
  </si>
  <si>
    <t>FGUP GCURS</t>
  </si>
  <si>
    <t>МК/ОШ</t>
  </si>
  <si>
    <t>АС</t>
  </si>
  <si>
    <t>Сайт + CRM</t>
  </si>
  <si>
    <t>b2b</t>
  </si>
  <si>
    <t>Lead</t>
  </si>
  <si>
    <t>Prospect</t>
  </si>
  <si>
    <t>eBusinessLab</t>
  </si>
  <si>
    <t>eLearning Portal</t>
  </si>
  <si>
    <r>
      <t>RFP</t>
    </r>
    <r>
      <rPr>
        <sz val="10"/>
        <rFont val="Arial"/>
        <family val="0"/>
      </rPr>
      <t xml:space="preserve"> = Request for Proposal - приглашение от потенциального клиента к участию в проекте</t>
    </r>
  </si>
  <si>
    <r>
      <t>EOI</t>
    </r>
    <r>
      <rPr>
        <sz val="10"/>
        <rFont val="Arial"/>
        <family val="0"/>
      </rPr>
      <t xml:space="preserve"> = Expression of Interest - наше формальное выражение заинтересованности по участию в проекте (в ответ на RFP)</t>
    </r>
  </si>
  <si>
    <r>
      <t>Proposals Due</t>
    </r>
    <r>
      <rPr>
        <sz val="10"/>
        <rFont val="Arial"/>
        <family val="0"/>
      </rPr>
      <t xml:space="preserve"> - наши обязательства предоставить предложения к опеределенной дате</t>
    </r>
  </si>
  <si>
    <r>
      <t>Awards Pending</t>
    </r>
    <r>
      <rPr>
        <sz val="10"/>
        <rFont val="Arial"/>
        <family val="0"/>
      </rPr>
      <t xml:space="preserve"> - наши предложения переданы клиенту. Ожидаем его решения</t>
    </r>
  </si>
  <si>
    <r>
      <t>Awards</t>
    </r>
    <r>
      <rPr>
        <sz val="10"/>
        <rFont val="Arial"/>
        <family val="0"/>
      </rPr>
      <t xml:space="preserve"> - выигранные проекты</t>
    </r>
  </si>
  <si>
    <t>1. Awards</t>
  </si>
  <si>
    <t xml:space="preserve">2. Losses </t>
  </si>
  <si>
    <t>3. Awards Pending</t>
  </si>
  <si>
    <t>4. Proposals Due</t>
  </si>
  <si>
    <t>5. EOIs</t>
  </si>
  <si>
    <t>Task</t>
  </si>
  <si>
    <r>
      <t>Losses</t>
    </r>
    <r>
      <rPr>
        <sz val="10"/>
        <rFont val="Arial"/>
        <family val="0"/>
      </rPr>
      <t xml:space="preserve"> - проигранные проекты</t>
    </r>
  </si>
  <si>
    <t>6. Last Week's Leads:</t>
  </si>
  <si>
    <t>4. Proposals Due:</t>
  </si>
  <si>
    <t>EK</t>
  </si>
  <si>
    <t>Q1-4/2003 Plan</t>
  </si>
  <si>
    <t>CRM (FU)</t>
  </si>
  <si>
    <t>МК/ОМ</t>
  </si>
  <si>
    <t>МК/ЕК</t>
  </si>
  <si>
    <t>Comments</t>
  </si>
  <si>
    <t>7th С</t>
  </si>
  <si>
    <t>Active Catalog</t>
  </si>
  <si>
    <t>G6</t>
  </si>
  <si>
    <t>МК/КЗ</t>
  </si>
  <si>
    <t>Доработка сайта</t>
  </si>
  <si>
    <t>Предложения по модернизации ИС</t>
  </si>
  <si>
    <t>МаК</t>
  </si>
  <si>
    <t>Учет продаж (воронка продаж)</t>
  </si>
  <si>
    <t>Weighted</t>
  </si>
  <si>
    <t>Class</t>
  </si>
</sst>
</file>

<file path=xl/styles.xml><?xml version="1.0" encoding="utf-8"?>
<styleSheet xmlns="http://schemas.openxmlformats.org/spreadsheetml/2006/main">
  <numFmts count="5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m/d/yyyy"/>
    <numFmt numFmtId="182" formatCode="&quot;$&quot;#,##0.0"/>
    <numFmt numFmtId="183" formatCode="&quot;$&quot;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$-409]#,##0.00"/>
    <numFmt numFmtId="188" formatCode="_(* #,##0.000_);_(* \(#,##0.000\);_(* &quot;-&quot;??_);_(@_)"/>
    <numFmt numFmtId="189" formatCode="[$$-409]#,##0_ ;\-[$$-409]#,##0\ "/>
    <numFmt numFmtId="190" formatCode="#,##0.00_р_."/>
    <numFmt numFmtId="191" formatCode="#,##0.0_р_."/>
    <numFmt numFmtId="192" formatCode="#,##0_р_."/>
    <numFmt numFmtId="193" formatCode="0.000"/>
    <numFmt numFmtId="194" formatCode="#\ ##0_);\(#\ ##0\)"/>
    <numFmt numFmtId="195" formatCode="[$-FC19]d\ mmmm\ yyyy\ &quot;г.&quot;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[$€-2]\ #,##0.00_);[Red]\([$€-2]\ #,##0.00\)"/>
    <numFmt numFmtId="199" formatCode="dd/mm/yy;@"/>
    <numFmt numFmtId="200" formatCode="_-[$$-409]* #,##0.00_ ;_-[$$-409]* \-#,##0.00\ ;_-[$$-409]* &quot;-&quot;??_ ;_-@_ "/>
    <numFmt numFmtId="201" formatCode="mmm/yyyy"/>
    <numFmt numFmtId="202" formatCode="[$-419]mmmm\ yyyy;@"/>
    <numFmt numFmtId="203" formatCode="[$-419]mmmm;@"/>
    <numFmt numFmtId="204" formatCode="[$-419]d\ mmm;@"/>
    <numFmt numFmtId="205" formatCode="[$-F419]yyyy\,\ mmmm;@"/>
    <numFmt numFmtId="206" formatCode="[$-409]mmm\-yy;@"/>
    <numFmt numFmtId="207" formatCode="0.0000"/>
    <numFmt numFmtId="208" formatCode="0.00000"/>
    <numFmt numFmtId="209" formatCode="0.0"/>
    <numFmt numFmtId="210" formatCode="0.000000"/>
    <numFmt numFmtId="211" formatCode="0.00000000"/>
    <numFmt numFmtId="212" formatCode="0.0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b/>
      <sz val="9"/>
      <name val="Arial Cyr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2"/>
    </font>
    <font>
      <sz val="10"/>
      <color indexed="40"/>
      <name val="Arial"/>
      <family val="0"/>
    </font>
    <font>
      <sz val="10.75"/>
      <name val="Arial"/>
      <family val="0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10"/>
      <color indexed="43"/>
      <name val="Arial"/>
      <family val="2"/>
    </font>
    <font>
      <b/>
      <sz val="9"/>
      <name val="Times New Roman"/>
      <family val="1"/>
    </font>
    <font>
      <sz val="9"/>
      <color indexed="10"/>
      <name val="Arial"/>
      <family val="0"/>
    </font>
    <font>
      <b/>
      <sz val="11"/>
      <name val="Arial"/>
      <family val="2"/>
    </font>
    <font>
      <sz val="2.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16" fontId="1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180" fontId="0" fillId="0" borderId="1" xfId="0" applyNumberForma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78" fontId="0" fillId="0" borderId="1" xfId="17" applyBorder="1" applyAlignment="1">
      <alignment horizontal="right" vertical="top"/>
    </xf>
    <xf numFmtId="178" fontId="0" fillId="0" borderId="1" xfId="17" applyBorder="1" applyAlignment="1">
      <alignment vertical="top"/>
    </xf>
    <xf numFmtId="178" fontId="0" fillId="0" borderId="1" xfId="17" applyFont="1" applyBorder="1" applyAlignment="1">
      <alignment horizontal="right" vertical="top"/>
    </xf>
    <xf numFmtId="18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178" fontId="1" fillId="0" borderId="0" xfId="17" applyFont="1" applyAlignment="1">
      <alignment/>
    </xf>
    <xf numFmtId="197" fontId="1" fillId="0" borderId="0" xfId="17" applyNumberFormat="1" applyFont="1" applyAlignment="1">
      <alignment/>
    </xf>
    <xf numFmtId="0" fontId="0" fillId="0" borderId="1" xfId="17" applyNumberFormat="1" applyFont="1" applyBorder="1" applyAlignment="1">
      <alignment vertical="top" wrapText="1"/>
    </xf>
    <xf numFmtId="178" fontId="0" fillId="2" borderId="1" xfId="17" applyFont="1" applyFill="1" applyBorder="1" applyAlignment="1">
      <alignment vertical="top"/>
    </xf>
    <xf numFmtId="178" fontId="0" fillId="2" borderId="2" xfId="17" applyFont="1" applyFill="1" applyBorder="1" applyAlignment="1">
      <alignment vertical="top"/>
    </xf>
    <xf numFmtId="178" fontId="0" fillId="2" borderId="1" xfId="17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80" fontId="0" fillId="2" borderId="1" xfId="0" applyNumberFormat="1" applyFill="1" applyBorder="1" applyAlignment="1">
      <alignment vertical="top"/>
    </xf>
    <xf numFmtId="0" fontId="2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180" fontId="1" fillId="0" borderId="1" xfId="0" applyNumberFormat="1" applyFont="1" applyBorder="1" applyAlignment="1">
      <alignment vertical="top"/>
    </xf>
    <xf numFmtId="180" fontId="1" fillId="2" borderId="1" xfId="0" applyNumberFormat="1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178" fontId="0" fillId="2" borderId="1" xfId="17" applyFill="1" applyBorder="1" applyAlignment="1">
      <alignment horizontal="right" vertical="top"/>
    </xf>
    <xf numFmtId="178" fontId="0" fillId="2" borderId="5" xfId="17" applyFill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top"/>
    </xf>
    <xf numFmtId="197" fontId="1" fillId="0" borderId="0" xfId="17" applyNumberFormat="1" applyFont="1" applyAlignment="1">
      <alignment horizontal="center" wrapText="1"/>
    </xf>
    <xf numFmtId="178" fontId="0" fillId="0" borderId="1" xfId="17" applyBorder="1" applyAlignment="1">
      <alignment vertical="top" wrapText="1"/>
    </xf>
    <xf numFmtId="178" fontId="0" fillId="0" borderId="0" xfId="17" applyAlignment="1">
      <alignment vertical="top"/>
    </xf>
    <xf numFmtId="178" fontId="0" fillId="2" borderId="1" xfId="17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indent="5"/>
    </xf>
    <xf numFmtId="16" fontId="0" fillId="2" borderId="1" xfId="0" applyNumberFormat="1" applyFont="1" applyFill="1" applyBorder="1" applyAlignment="1">
      <alignment horizontal="center" vertical="top"/>
    </xf>
    <xf numFmtId="178" fontId="0" fillId="0" borderId="1" xfId="17" applyBorder="1" applyAlignment="1">
      <alignment horizontal="right" vertical="top"/>
    </xf>
    <xf numFmtId="178" fontId="0" fillId="2" borderId="1" xfId="17" applyFill="1" applyBorder="1" applyAlignment="1">
      <alignment horizontal="right" vertical="top"/>
    </xf>
    <xf numFmtId="178" fontId="0" fillId="0" borderId="1" xfId="17" applyBorder="1" applyAlignment="1">
      <alignment vertical="top" wrapText="1"/>
    </xf>
    <xf numFmtId="199" fontId="0" fillId="0" borderId="1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/>
    </xf>
    <xf numFmtId="199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187" fontId="0" fillId="0" borderId="0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center" vertical="top"/>
    </xf>
    <xf numFmtId="9" fontId="0" fillId="0" borderId="0" xfId="2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0" fillId="0" borderId="0" xfId="21" applyNumberFormat="1" applyAlignment="1">
      <alignment horizontal="center" vertical="top"/>
    </xf>
    <xf numFmtId="197" fontId="1" fillId="0" borderId="0" xfId="17" applyNumberFormat="1" applyFont="1" applyAlignment="1">
      <alignment shrinkToFit="1"/>
    </xf>
    <xf numFmtId="200" fontId="0" fillId="0" borderId="0" xfId="0" applyNumberFormat="1" applyAlignment="1">
      <alignment vertical="top"/>
    </xf>
    <xf numFmtId="0" fontId="11" fillId="0" borderId="0" xfId="21" applyNumberFormat="1" applyFont="1" applyAlignment="1">
      <alignment horizontal="center" vertical="top"/>
    </xf>
    <xf numFmtId="0" fontId="11" fillId="0" borderId="0" xfId="21" applyNumberFormat="1" applyFont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9" fontId="0" fillId="0" borderId="0" xfId="21" applyAlignment="1">
      <alignment horizontal="center" vertical="top"/>
    </xf>
    <xf numFmtId="9" fontId="0" fillId="0" borderId="0" xfId="21" applyAlignment="1">
      <alignment vertical="top"/>
    </xf>
    <xf numFmtId="199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187" fontId="0" fillId="0" borderId="1" xfId="0" applyNumberFormat="1" applyBorder="1" applyAlignment="1">
      <alignment horizontal="right" vertical="top" wrapText="1"/>
    </xf>
    <xf numFmtId="0" fontId="0" fillId="0" borderId="1" xfId="21" applyNumberFormat="1" applyBorder="1" applyAlignment="1">
      <alignment horizontal="center" vertical="top" wrapText="1"/>
    </xf>
    <xf numFmtId="0" fontId="0" fillId="0" borderId="1" xfId="21" applyNumberFormat="1" applyBorder="1" applyAlignment="1">
      <alignment horizontal="center" vertical="top" wrapText="1"/>
    </xf>
    <xf numFmtId="200" fontId="11" fillId="0" borderId="14" xfId="0" applyNumberFormat="1" applyFont="1" applyBorder="1" applyAlignment="1">
      <alignment vertical="top"/>
    </xf>
    <xf numFmtId="200" fontId="0" fillId="0" borderId="1" xfId="0" applyNumberFormat="1" applyBorder="1" applyAlignment="1">
      <alignment horizontal="right" vertical="top"/>
    </xf>
    <xf numFmtId="0" fontId="0" fillId="0" borderId="1" xfId="21" applyNumberFormat="1" applyBorder="1" applyAlignment="1">
      <alignment horizontal="center" vertical="top"/>
    </xf>
    <xf numFmtId="0" fontId="0" fillId="0" borderId="1" xfId="21" applyNumberFormat="1" applyBorder="1" applyAlignment="1">
      <alignment horizontal="center" vertical="top"/>
    </xf>
    <xf numFmtId="3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/>
    </xf>
    <xf numFmtId="178" fontId="0" fillId="2" borderId="1" xfId="17" applyFont="1" applyFill="1" applyBorder="1" applyAlignment="1">
      <alignment horizontal="right" vertical="top"/>
    </xf>
    <xf numFmtId="0" fontId="11" fillId="0" borderId="12" xfId="0" applyFont="1" applyBorder="1" applyAlignment="1">
      <alignment vertical="top" wrapText="1"/>
    </xf>
    <xf numFmtId="9" fontId="0" fillId="0" borderId="0" xfId="21" applyFont="1" applyAlignment="1">
      <alignment horizontal="center" vertical="top"/>
    </xf>
    <xf numFmtId="9" fontId="0" fillId="0" borderId="0" xfId="21" applyAlignment="1">
      <alignment vertical="top"/>
    </xf>
    <xf numFmtId="178" fontId="0" fillId="0" borderId="3" xfId="17" applyBorder="1" applyAlignment="1">
      <alignment vertical="top"/>
    </xf>
    <xf numFmtId="9" fontId="0" fillId="0" borderId="0" xfId="0" applyNumberFormat="1" applyAlignment="1">
      <alignment vertical="top"/>
    </xf>
    <xf numFmtId="9" fontId="0" fillId="0" borderId="0" xfId="21" applyFont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87" fontId="11" fillId="0" borderId="1" xfId="0" applyNumberFormat="1" applyFont="1" applyBorder="1" applyAlignment="1">
      <alignment horizontal="right" vertical="top" wrapText="1"/>
    </xf>
    <xf numFmtId="199" fontId="0" fillId="0" borderId="0" xfId="0" applyNumberForma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178" fontId="0" fillId="0" borderId="1" xfId="17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Font="1" applyAlignment="1">
      <alignment/>
    </xf>
    <xf numFmtId="206" fontId="1" fillId="0" borderId="0" xfId="0" applyNumberFormat="1" applyFont="1" applyAlignment="1">
      <alignment horizontal="center" vertical="top"/>
    </xf>
    <xf numFmtId="178" fontId="0" fillId="0" borderId="0" xfId="17" applyFont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178" fontId="0" fillId="0" borderId="1" xfId="17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4" fontId="0" fillId="4" borderId="0" xfId="0" applyNumberFormat="1" applyFill="1" applyAlignment="1">
      <alignment horizontal="right" vertical="top"/>
    </xf>
    <xf numFmtId="199" fontId="0" fillId="4" borderId="0" xfId="0" applyNumberFormat="1" applyFill="1" applyBorder="1" applyAlignment="1">
      <alignment vertical="top"/>
    </xf>
    <xf numFmtId="178" fontId="1" fillId="0" borderId="0" xfId="17" applyFont="1" applyAlignment="1">
      <alignment vertical="top"/>
    </xf>
    <xf numFmtId="199" fontId="0" fillId="2" borderId="1" xfId="0" applyNumberFormat="1" applyFill="1" applyBorder="1" applyAlignment="1">
      <alignment horizontal="center" vertical="top" wrapText="1"/>
    </xf>
    <xf numFmtId="178" fontId="0" fillId="0" borderId="1" xfId="17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199" fontId="0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0" fillId="0" borderId="2" xfId="0" applyBorder="1" applyAlignment="1">
      <alignment vertical="top" wrapText="1"/>
    </xf>
    <xf numFmtId="178" fontId="0" fillId="0" borderId="3" xfId="17" applyBorder="1" applyAlignment="1">
      <alignment horizontal="right" vertical="top"/>
    </xf>
    <xf numFmtId="0" fontId="1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/>
    </xf>
    <xf numFmtId="199" fontId="17" fillId="2" borderId="1" xfId="0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199" fontId="1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78" fontId="0" fillId="0" borderId="2" xfId="17" applyBorder="1" applyAlignment="1">
      <alignment vertical="top" wrapText="1"/>
    </xf>
    <xf numFmtId="178" fontId="0" fillId="2" borderId="2" xfId="17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78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199" fontId="0" fillId="2" borderId="1" xfId="0" applyNumberFormat="1" applyFont="1" applyFill="1" applyBorder="1" applyAlignment="1">
      <alignment horizontal="center" vertical="top" wrapText="1"/>
    </xf>
    <xf numFmtId="199" fontId="0" fillId="0" borderId="0" xfId="0" applyNumberFormat="1" applyFill="1" applyBorder="1" applyAlignment="1">
      <alignment vertical="top"/>
    </xf>
    <xf numFmtId="178" fontId="0" fillId="0" borderId="0" xfId="17" applyFont="1" applyFill="1" applyAlignment="1">
      <alignment vertical="top"/>
    </xf>
    <xf numFmtId="199" fontId="0" fillId="0" borderId="0" xfId="0" applyNumberForma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4" fontId="0" fillId="0" borderId="0" xfId="0" applyNumberFormat="1" applyFont="1" applyFill="1" applyAlignment="1">
      <alignment horizontal="right" vertical="top"/>
    </xf>
    <xf numFmtId="3" fontId="16" fillId="0" borderId="1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/>
    </xf>
    <xf numFmtId="14" fontId="0" fillId="0" borderId="0" xfId="0" applyNumberFormat="1" applyFill="1" applyAlignment="1">
      <alignment horizontal="right" vertical="top"/>
    </xf>
    <xf numFmtId="187" fontId="0" fillId="0" borderId="1" xfId="0" applyNumberFormat="1" applyFill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206" fontId="1" fillId="2" borderId="0" xfId="0" applyNumberFormat="1" applyFont="1" applyFill="1" applyAlignment="1">
      <alignment horizontal="center" vertical="top"/>
    </xf>
    <xf numFmtId="178" fontId="0" fillId="2" borderId="0" xfId="17" applyFont="1" applyFill="1" applyAlignment="1">
      <alignment vertical="top"/>
    </xf>
    <xf numFmtId="178" fontId="1" fillId="2" borderId="0" xfId="17" applyFont="1" applyFill="1" applyAlignment="1">
      <alignment vertical="top"/>
    </xf>
    <xf numFmtId="187" fontId="0" fillId="2" borderId="0" xfId="0" applyNumberFormat="1" applyFill="1" applyBorder="1" applyAlignment="1">
      <alignment horizontal="right" vertical="top" wrapText="1"/>
    </xf>
    <xf numFmtId="0" fontId="0" fillId="2" borderId="0" xfId="0" applyFont="1" applyFill="1" applyAlignment="1">
      <alignment vertical="top"/>
    </xf>
    <xf numFmtId="206" fontId="1" fillId="6" borderId="0" xfId="0" applyNumberFormat="1" applyFont="1" applyFill="1" applyAlignment="1">
      <alignment horizontal="center" vertical="top" wrapText="1"/>
    </xf>
    <xf numFmtId="178" fontId="1" fillId="6" borderId="0" xfId="17" applyFont="1" applyFill="1" applyAlignment="1">
      <alignment vertical="top"/>
    </xf>
    <xf numFmtId="0" fontId="0" fillId="0" borderId="0" xfId="0" applyNumberFormat="1" applyAlignment="1">
      <alignment vertical="top"/>
    </xf>
    <xf numFmtId="178" fontId="0" fillId="0" borderId="1" xfId="17" applyFont="1" applyFill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187" fontId="0" fillId="4" borderId="1" xfId="0" applyNumberFormat="1" applyFill="1" applyBorder="1" applyAlignment="1">
      <alignment horizontal="right" vertical="top" wrapText="1"/>
    </xf>
    <xf numFmtId="0" fontId="0" fillId="4" borderId="1" xfId="21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9" fontId="0" fillId="4" borderId="0" xfId="21" applyFill="1" applyAlignment="1">
      <alignment horizontal="center" vertical="top"/>
    </xf>
    <xf numFmtId="9" fontId="0" fillId="4" borderId="0" xfId="21" applyFill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178" fontId="16" fillId="0" borderId="1" xfId="17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178" fontId="0" fillId="0" borderId="1" xfId="17" applyFont="1" applyFill="1" applyBorder="1" applyAlignment="1">
      <alignment vertical="top"/>
    </xf>
    <xf numFmtId="178" fontId="0" fillId="2" borderId="1" xfId="17" applyFont="1" applyFill="1" applyBorder="1" applyAlignment="1">
      <alignment horizontal="right" vertical="top"/>
    </xf>
    <xf numFmtId="199" fontId="0" fillId="0" borderId="1" xfId="0" applyNumberFormat="1" applyFont="1" applyBorder="1" applyAlignment="1">
      <alignment horizontal="center" vertical="top" wrapText="1"/>
    </xf>
    <xf numFmtId="178" fontId="6" fillId="0" borderId="0" xfId="0" applyNumberFormat="1" applyFont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21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21" applyNumberForma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3" fontId="0" fillId="0" borderId="0" xfId="0" applyNumberFormat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99" fontId="17" fillId="2" borderId="1" xfId="0" applyNumberFormat="1" applyFont="1" applyFill="1" applyBorder="1" applyAlignment="1">
      <alignment horizontal="center" vertical="top" wrapText="1"/>
    </xf>
    <xf numFmtId="180" fontId="0" fillId="0" borderId="1" xfId="0" applyNumberFormat="1" applyFont="1" applyBorder="1" applyAlignment="1">
      <alignment vertical="top" wrapText="1"/>
    </xf>
    <xf numFmtId="180" fontId="1" fillId="0" borderId="1" xfId="0" applyNumberFormat="1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199" fontId="0" fillId="0" borderId="0" xfId="0" applyNumberFormat="1" applyFont="1" applyBorder="1" applyAlignment="1">
      <alignment vertical="top"/>
    </xf>
    <xf numFmtId="9" fontId="16" fillId="0" borderId="0" xfId="21" applyFont="1" applyAlignment="1">
      <alignment horizontal="center" vertical="top"/>
    </xf>
    <xf numFmtId="9" fontId="0" fillId="0" borderId="0" xfId="2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9" fontId="0" fillId="0" borderId="0" xfId="21" applyFont="1" applyAlignment="1">
      <alignment horizontal="center" vertical="top"/>
    </xf>
    <xf numFmtId="197" fontId="1" fillId="0" borderId="0" xfId="17" applyNumberFormat="1" applyFont="1" applyBorder="1" applyAlignment="1">
      <alignment shrinkToFit="1"/>
    </xf>
    <xf numFmtId="0" fontId="0" fillId="0" borderId="0" xfId="0" applyFont="1" applyAlignment="1">
      <alignment vertical="top"/>
    </xf>
    <xf numFmtId="178" fontId="0" fillId="0" borderId="0" xfId="17" applyFont="1" applyAlignment="1">
      <alignment horizontal="center" vertical="top"/>
    </xf>
    <xf numFmtId="178" fontId="0" fillId="6" borderId="0" xfId="17" applyFont="1" applyFill="1" applyAlignment="1">
      <alignment horizontal="center" vertical="top"/>
    </xf>
    <xf numFmtId="178" fontId="1" fillId="6" borderId="0" xfId="17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99" fontId="0" fillId="0" borderId="0" xfId="0" applyNumberFormat="1" applyFont="1" applyAlignment="1">
      <alignment vertical="top"/>
    </xf>
    <xf numFmtId="0" fontId="0" fillId="0" borderId="0" xfId="17" applyNumberFormat="1" applyFont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99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Border="1" applyAlignment="1">
      <alignment vertical="top" wrapText="1"/>
    </xf>
    <xf numFmtId="199" fontId="0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178" fontId="0" fillId="0" borderId="0" xfId="17" applyFont="1" applyBorder="1" applyAlignment="1">
      <alignment vertical="top"/>
    </xf>
    <xf numFmtId="0" fontId="0" fillId="0" borderId="0" xfId="17" applyNumberFormat="1" applyFont="1" applyBorder="1" applyAlignment="1">
      <alignment horizontal="center" vertical="top"/>
    </xf>
    <xf numFmtId="187" fontId="0" fillId="0" borderId="0" xfId="0" applyNumberFormat="1" applyFont="1" applyFill="1" applyBorder="1" applyAlignment="1">
      <alignment horizontal="right" vertical="top" wrapText="1"/>
    </xf>
    <xf numFmtId="187" fontId="0" fillId="0" borderId="0" xfId="0" applyNumberFormat="1" applyFont="1" applyBorder="1" applyAlignment="1">
      <alignment horizontal="right" vertical="top" wrapText="1"/>
    </xf>
    <xf numFmtId="187" fontId="0" fillId="2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199" fontId="22" fillId="2" borderId="1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199" fontId="6" fillId="0" borderId="0" xfId="0" applyNumberFormat="1" applyFont="1" applyAlignment="1">
      <alignment vertical="top"/>
    </xf>
    <xf numFmtId="0" fontId="23" fillId="0" borderId="0" xfId="0" applyFont="1" applyAlignment="1">
      <alignment horizontal="center"/>
    </xf>
    <xf numFmtId="199" fontId="6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9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78" fontId="6" fillId="0" borderId="1" xfId="17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97" fontId="7" fillId="0" borderId="0" xfId="17" applyNumberFormat="1" applyFont="1" applyAlignment="1">
      <alignment shrinkToFit="1"/>
    </xf>
    <xf numFmtId="200" fontId="6" fillId="0" borderId="0" xfId="0" applyNumberFormat="1" applyFont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/>
    </xf>
    <xf numFmtId="187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 wrapText="1"/>
    </xf>
    <xf numFmtId="200" fontId="14" fillId="0" borderId="14" xfId="0" applyNumberFormat="1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187" fontId="6" fillId="0" borderId="0" xfId="0" applyNumberFormat="1" applyFont="1" applyBorder="1" applyAlignment="1">
      <alignment horizontal="right" vertical="top" wrapText="1"/>
    </xf>
    <xf numFmtId="187" fontId="14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178" fontId="6" fillId="0" borderId="1" xfId="17" applyFont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87" fontId="6" fillId="8" borderId="1" xfId="0" applyNumberFormat="1" applyFont="1" applyFill="1" applyBorder="1" applyAlignment="1">
      <alignment horizontal="right" vertical="top" wrapText="1"/>
    </xf>
    <xf numFmtId="187" fontId="6" fillId="0" borderId="1" xfId="0" applyNumberFormat="1" applyFont="1" applyFill="1" applyBorder="1" applyAlignment="1">
      <alignment horizontal="right" vertical="top" wrapText="1"/>
    </xf>
    <xf numFmtId="200" fontId="6" fillId="0" borderId="1" xfId="0" applyNumberFormat="1" applyFont="1" applyBorder="1" applyAlignment="1">
      <alignment horizontal="right" vertical="top"/>
    </xf>
    <xf numFmtId="14" fontId="0" fillId="8" borderId="0" xfId="0" applyNumberFormat="1" applyFill="1" applyAlignment="1">
      <alignment horizontal="right" vertical="top"/>
    </xf>
    <xf numFmtId="14" fontId="0" fillId="8" borderId="0" xfId="0" applyNumberFormat="1" applyFont="1" applyFill="1" applyAlignment="1">
      <alignment horizontal="right" vertical="top"/>
    </xf>
    <xf numFmtId="0" fontId="0" fillId="0" borderId="0" xfId="0" applyBorder="1" applyAlignment="1">
      <alignment/>
    </xf>
    <xf numFmtId="197" fontId="25" fillId="0" borderId="1" xfId="17" applyNumberFormat="1" applyFont="1" applyBorder="1" applyAlignment="1">
      <alignment horizontal="right" vertical="top"/>
    </xf>
    <xf numFmtId="197" fontId="0" fillId="0" borderId="1" xfId="17" applyNumberFormat="1" applyFont="1" applyBorder="1" applyAlignment="1">
      <alignment horizontal="right" vertical="top"/>
    </xf>
    <xf numFmtId="200" fontId="0" fillId="0" borderId="0" xfId="0" applyNumberFormat="1" applyBorder="1" applyAlignment="1">
      <alignment vertical="top"/>
    </xf>
    <xf numFmtId="0" fontId="0" fillId="0" borderId="0" xfId="21" applyNumberFormat="1" applyBorder="1" applyAlignment="1">
      <alignment horizontal="center" vertical="top"/>
    </xf>
    <xf numFmtId="178" fontId="7" fillId="0" borderId="0" xfId="17" applyFont="1" applyBorder="1" applyAlignment="1">
      <alignment vertical="top"/>
    </xf>
    <xf numFmtId="199" fontId="6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78" fontId="7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vertical="top" wrapText="1"/>
    </xf>
    <xf numFmtId="199" fontId="6" fillId="2" borderId="2" xfId="0" applyNumberFormat="1" applyFont="1" applyFill="1" applyBorder="1" applyAlignment="1">
      <alignment horizontal="center" vertical="top" wrapText="1"/>
    </xf>
    <xf numFmtId="199" fontId="0" fillId="0" borderId="0" xfId="0" applyNumberFormat="1" applyFont="1" applyBorder="1" applyAlignment="1">
      <alignment vertical="top"/>
    </xf>
    <xf numFmtId="199" fontId="0" fillId="4" borderId="0" xfId="0" applyNumberFormat="1" applyFont="1" applyFill="1" applyBorder="1" applyAlignment="1">
      <alignment vertical="top"/>
    </xf>
    <xf numFmtId="206" fontId="1" fillId="6" borderId="0" xfId="0" applyNumberFormat="1" applyFont="1" applyFill="1" applyAlignment="1">
      <alignment horizontal="center" vertical="top"/>
    </xf>
    <xf numFmtId="178" fontId="0" fillId="6" borderId="0" xfId="17" applyFont="1" applyFill="1" applyAlignment="1">
      <alignment vertical="top"/>
    </xf>
    <xf numFmtId="187" fontId="0" fillId="6" borderId="0" xfId="0" applyNumberFormat="1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 wrapText="1"/>
    </xf>
    <xf numFmtId="187" fontId="25" fillId="0" borderId="1" xfId="0" applyNumberFormat="1" applyFont="1" applyBorder="1" applyAlignment="1">
      <alignment horizontal="left" vertical="top" wrapText="1"/>
    </xf>
    <xf numFmtId="199" fontId="0" fillId="4" borderId="1" xfId="0" applyNumberFormat="1" applyFont="1" applyFill="1" applyBorder="1" applyAlignment="1">
      <alignment horizontal="center" vertical="top" wrapText="1"/>
    </xf>
    <xf numFmtId="199" fontId="0" fillId="4" borderId="1" xfId="0" applyNumberFormat="1" applyFill="1" applyBorder="1" applyAlignment="1">
      <alignment horizontal="center" vertical="top" wrapText="1"/>
    </xf>
    <xf numFmtId="178" fontId="0" fillId="4" borderId="1" xfId="17" applyFill="1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206" fontId="1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3" xfId="17" applyFont="1" applyFill="1" applyBorder="1" applyAlignment="1">
      <alignment vertical="top"/>
    </xf>
    <xf numFmtId="178" fontId="0" fillId="0" borderId="5" xfId="17" applyFont="1" applyFill="1" applyBorder="1" applyAlignment="1">
      <alignment vertical="top"/>
    </xf>
    <xf numFmtId="178" fontId="0" fillId="4" borderId="0" xfId="17" applyFont="1" applyFill="1" applyAlignment="1">
      <alignment vertical="top"/>
    </xf>
    <xf numFmtId="178" fontId="0" fillId="0" borderId="1" xfId="17" applyFill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" xfId="20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193" fontId="0" fillId="0" borderId="0" xfId="17" applyNumberFormat="1" applyFont="1" applyAlignment="1">
      <alignment horizontal="center" vertical="top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7" fillId="0" borderId="0" xfId="0" applyFont="1" applyAlignment="1">
      <alignment/>
    </xf>
    <xf numFmtId="0" fontId="1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0" xfId="0" applyNumberFormat="1" applyAlignment="1">
      <alignment horizontal="left" vertical="top"/>
    </xf>
    <xf numFmtId="178" fontId="0" fillId="9" borderId="2" xfId="17" applyFill="1" applyBorder="1" applyAlignment="1">
      <alignment horizontal="center" vertical="top"/>
    </xf>
    <xf numFmtId="178" fontId="0" fillId="5" borderId="2" xfId="17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78" formatCode="_(&quot;$&quot;* #,##0.00_);_(&quot;$&quot;* \(#,##0.00\);_(&quot;$&quot;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20"/>
      <c:depthPercent val="40"/>
      <c:rAngAx val="1"/>
    </c:view3D>
    <c:plotArea>
      <c:layout/>
      <c:bar3DChart>
        <c:barDir val="bar"/>
        <c:grouping val="stacked"/>
        <c:varyColors val="0"/>
        <c:ser>
          <c:idx val="5"/>
          <c:order val="0"/>
          <c:tx>
            <c:strRef>
              <c:f>Summary!$H$3</c:f>
              <c:strCache>
                <c:ptCount val="1"/>
                <c:pt idx="0">
                  <c:v>6. Opportunities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Summary!$H$4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4"/>
          <c:order val="1"/>
          <c:tx>
            <c:strRef>
              <c:f>Summary!#REF!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Summary!$E$3</c:f>
              <c:strCache>
                <c:ptCount val="1"/>
                <c:pt idx="0">
                  <c:v>3. Awards Pending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Summary!$E$4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3"/>
          <c:tx>
            <c:strRef>
              <c:f>Summary!$D$3</c:f>
              <c:strCache>
                <c:ptCount val="1"/>
                <c:pt idx="0">
                  <c:v>2. Losses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Summary!$D$4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0"/>
          <c:order val="4"/>
          <c:tx>
            <c:strRef>
              <c:f>Summary!$C$3</c:f>
              <c:strCache>
                <c:ptCount val="1"/>
                <c:pt idx="0">
                  <c:v>1.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Summary!$C$4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overlap val="100"/>
        <c:gapWidth val="50"/>
        <c:gapDepth val="200"/>
        <c:shape val="pyramid"/>
        <c:axId val="18184246"/>
        <c:axId val="29440487"/>
      </c:bar3DChart>
      <c:catAx>
        <c:axId val="18184246"/>
        <c:scaling>
          <c:orientation val="minMax"/>
        </c:scaling>
        <c:axPos val="l"/>
        <c:delete val="1"/>
        <c:majorTickMark val="out"/>
        <c:minorTickMark val="none"/>
        <c:tickLblPos val="low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1"/>
          <c:order val="1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2"/>
          <c:order val="2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3"/>
          <c:order val="3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hape val="cone"/>
        <c:axId val="63637792"/>
        <c:axId val="35869217"/>
        <c:axId val="54387498"/>
      </c:bar3D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er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692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ser>
          <c:idx val="1"/>
          <c:order val="1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ser>
          <c:idx val="2"/>
          <c:order val="2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54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7</xdr:col>
      <xdr:colOff>714375</xdr:colOff>
      <xdr:row>46</xdr:row>
      <xdr:rowOff>247650</xdr:rowOff>
    </xdr:to>
    <xdr:graphicFrame>
      <xdr:nvGraphicFramePr>
        <xdr:cNvPr id="1" name="Chart 5"/>
        <xdr:cNvGraphicFramePr/>
      </xdr:nvGraphicFramePr>
      <xdr:xfrm>
        <a:off x="190500" y="9048750"/>
        <a:ext cx="5010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219075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28575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306175" y="0"/>
        <a:ext cx="5514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28" sheet="Awards"/>
  </cacheSource>
  <cacheFields count="11">
    <cacheField name="#">
      <sharedItems containsSemiMixedTypes="0" containsString="0" containsMixedTypes="0" containsNumber="1" containsInteger="1" count="26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Lead by Date">
      <sharedItems containsDate="1" containsString="0" containsBlank="1" containsMixedTypes="0" count="18">
        <m/>
        <d v="2001-10-01T00:00:00.000"/>
        <d v="2002-02-12T00:00:00.000"/>
        <d v="2001-03-01T00:00:00.000"/>
        <d v="2002-03-15T00:00:00.000"/>
        <d v="2002-04-01T00:00:00.000"/>
        <d v="2002-04-12T00:00:00.000"/>
        <d v="2002-04-14T00:00:00.000"/>
        <d v="2002-01-05T00:00:00.000"/>
        <d v="2002-02-18T00:00:00.000"/>
        <d v="2001-12-15T00:00:00.000"/>
        <d v="2002-03-01T00:00:00.000"/>
        <d v="2002-03-19T00:00:00.000"/>
        <d v="2002-06-01T00:00:00.000"/>
        <d v="2002-06-06T00:00:00.000"/>
        <d v="2002-06-13T00:00:00.000"/>
        <d v="2002-06-21T00:00:00.000"/>
        <d v="2002-06-07T00:00:00.000"/>
      </sharedItems>
    </cacheField>
    <cacheField name="Prp Submitted">
      <sharedItems containsDate="1" containsString="0" containsBlank="1" containsMixedTypes="0" count="21">
        <m/>
        <d v="2002-02-26T00:00:00.000"/>
        <d v="2002-02-15T00:00:00.000"/>
        <d v="2002-03-25T00:00:00.000"/>
        <d v="2002-04-12T00:00:00.000"/>
        <d v="2002-04-19T00:00:00.000"/>
        <d v="2001-10-15T00:00:00.000"/>
        <d v="2002-02-18T00:00:00.000"/>
        <d v="2002-04-13T00:00:00.000"/>
        <d v="2002-03-21T00:00:00.000"/>
        <d v="2002-03-13T00:00:00.000"/>
        <d v="2002-05-30T00:00:00.000"/>
        <d v="2002-05-31T00:00:00.000"/>
        <d v="2002-03-26T00:00:00.000"/>
        <d v="2002-06-01T00:00:00.000"/>
        <d v="2002-06-19T00:00:00.000"/>
        <d v="2002-06-18T00:00:00.000"/>
        <d v="2002-08-13T00:00:00.000"/>
        <d v="2002-07-19T00:00:00.000"/>
        <d v="2002-08-28T00:00:00.000"/>
        <d v="2002-08-21T00:00:00.000"/>
      </sharedItems>
    </cacheField>
    <cacheField name="Approved Date">
      <sharedItems containsDate="1" containsString="0" containsBlank="1" containsMixedTypes="0" count="18">
        <m/>
        <d v="2002-02-14T00:00:00.000"/>
        <d v="2002-03-01T00:00:00.000"/>
        <d v="2002-03-06T00:00:00.000"/>
        <d v="2002-03-29T00:00:00.000"/>
        <d v="2002-04-19T00:00:00.000"/>
        <d v="2002-04-26T00:00:00.000"/>
        <d v="2002-04-27T00:00:00.000"/>
        <d v="2002-05-07T00:00:00.000"/>
        <d v="2002-05-30T00:00:00.000"/>
        <d v="2002-06-07T00:00:00.000"/>
        <d v="2002-06-28T00:00:00.000"/>
        <d v="2002-07-01T00:00:00.000"/>
        <d v="2002-07-25T00:00:00.000"/>
        <d v="2002-08-19T00:00:00.000"/>
        <d v="2002-08-21T00:00:00.000"/>
        <d v="2002-09-12T00:00:00.000"/>
        <d v="2002-09-18T00:00:00.000"/>
      </sharedItems>
    </cacheField>
    <cacheField name="Cycle, Days">
      <sharedItems containsString="0" containsBlank="1" containsMixedTypes="0" containsNumber="1" containsInteger="1" count="20">
        <m/>
        <n v="136"/>
        <n v="17"/>
        <n v="370"/>
        <n v="14"/>
        <n v="18"/>
        <n v="12"/>
        <n v="208"/>
        <n v="112"/>
        <n v="43"/>
        <n v="78"/>
        <n v="166"/>
        <n v="98"/>
        <n v="101"/>
        <n v="30"/>
        <n v="49"/>
        <n v="67"/>
        <n v="61"/>
        <n v="103"/>
        <n v="187"/>
      </sharedItems>
    </cacheField>
    <cacheField name="Customer">
      <sharedItems containsBlank="1" containsMixedTypes="0" count="15">
        <m/>
        <s v="ЗАО &quot;Московские Магазины&quot;"/>
        <s v="РТВ"/>
        <s v="Норман Кук"/>
        <s v="ООО &quot;Шоколадный Продукт&quot; "/>
        <s v="БРТ"/>
        <s v="ЗАО &quot;Высокая Дистрибуция&quot;"/>
        <s v="Разводы (FU)"/>
        <s v="ФОРТ"/>
        <s v="Рэкстор"/>
        <s v="Бузал"/>
        <s v="Новамедия"/>
        <s v="ВнешБанк"/>
        <s v="Министерство Благоденствия (Labor Ministry)"/>
        <s v="ООО &quot;Шоколадный Продукт&quot;"/>
      </sharedItems>
    </cacheField>
    <cacheField name="Project Title/Description">
      <sharedItems containsBlank="1" containsMixedTypes="0" count="16">
        <m/>
        <s v="iShop / Call Center (FU)"/>
        <s v="Business Consulting (F)"/>
        <s v="Portal Development (F)"/>
        <s v="MIS Support (FU)"/>
        <s v="Portal Update (FU)"/>
        <s v="Portal Support (FU)"/>
        <s v="Mailing Lists Development (FU)"/>
        <s v="Consulting (F)"/>
        <s v="Purchase Orders Web Interface (FU)"/>
        <s v="IT Consulting (FU)"/>
        <s v="iShop Update (FU)"/>
        <s v="Portal Design (FU, T)"/>
        <s v="Portal Consulting (FU)"/>
        <s v="MIS Update / Pocket PC/ (FU)"/>
        <s v="MIS Update (FU)"/>
      </sharedItems>
    </cacheField>
    <cacheField name="Lead Mngr">
      <sharedItems containsBlank="1" containsMixedTypes="0" count="12">
        <m/>
        <s v="OS"/>
        <s v="EK"/>
        <s v="ЕК &gt; KZ"/>
        <s v="KB"/>
        <s v="KZ"/>
        <s v="MK/DY"/>
        <s v="AV"/>
        <s v="МК/ОМ"/>
        <s v="IZ"/>
        <s v="KB &gt; KZ"/>
        <s v="AS"/>
      </sharedItems>
    </cacheField>
    <cacheField name="Consulting">
      <sharedItems containsString="0" containsBlank="1" containsMixedTypes="0" containsNumber="1" count="7">
        <m/>
        <n v="56000"/>
        <n v="30000"/>
        <n v="220000"/>
        <n v="41000"/>
        <n v="394428.5714285714"/>
        <n v="61111.11111111111"/>
      </sharedItems>
    </cacheField>
    <cacheField name="Devlpmnt">
      <sharedItems containsString="0" containsBlank="1" containsMixedTypes="0" containsNumber="1" count="14">
        <m/>
        <n v="208340"/>
        <n v="370000"/>
        <n v="250000"/>
        <n v="25000"/>
        <n v="120000"/>
        <n v="29000"/>
        <n v="42000"/>
        <n v="80000"/>
        <n v="30000"/>
        <n v="233333.3333333333"/>
        <n v="150000"/>
        <n v="81340"/>
        <n v="65000"/>
      </sharedItems>
    </cacheField>
    <cacheField name="Support">
      <sharedItems containsString="0" containsBlank="1" containsMixedTypes="0" containsNumber="1" containsInteger="1" count="6">
        <m/>
        <n v="300000"/>
        <n v="84000"/>
        <n v="18200"/>
        <n v="22500"/>
        <n v="4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100" firstHeaderRow="1" firstDataRow="1" firstDataCol="7" rowPageCount="1" colPageCount="1"/>
  <pivotFields count="11">
    <pivotField compact="0" outline="0" subtotalTop="0" showAll="0"/>
    <pivotField axis="axisRow" compact="0" outline="0" subtotalTop="0" showAll="0" defaultSubtotal="0">
      <items count="18">
        <item x="3"/>
        <item x="1"/>
        <item x="10"/>
        <item x="8"/>
        <item x="2"/>
        <item x="9"/>
        <item x="11"/>
        <item x="4"/>
        <item x="12"/>
        <item x="5"/>
        <item x="6"/>
        <item x="7"/>
        <item x="13"/>
        <item x="14"/>
        <item x="17"/>
        <item x="15"/>
        <item x="16"/>
        <item x="0"/>
      </items>
    </pivotField>
    <pivotField axis="axisRow" compact="0" outline="0" subtotalTop="0" showAll="0" defaultSubtotal="0">
      <items count="21">
        <item x="6"/>
        <item x="2"/>
        <item x="7"/>
        <item x="1"/>
        <item x="10"/>
        <item x="9"/>
        <item x="3"/>
        <item x="13"/>
        <item x="4"/>
        <item x="8"/>
        <item x="5"/>
        <item x="11"/>
        <item x="12"/>
        <item x="14"/>
        <item x="16"/>
        <item x="15"/>
        <item x="18"/>
        <item x="17"/>
        <item x="20"/>
        <item x="19"/>
        <item sd="0" x="0"/>
      </items>
    </pivotField>
    <pivotField axis="axisRow" compact="0" outline="0" subtotalTop="0" showAll="0" defaultSubtota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</items>
    </pivotField>
    <pivotField axis="axisRow" compact="0" outline="0" subtotalTop="0" showAll="0" defaultSubtotal="0">
      <items count="20">
        <item x="6"/>
        <item x="4"/>
        <item x="2"/>
        <item x="5"/>
        <item x="14"/>
        <item x="9"/>
        <item x="15"/>
        <item x="17"/>
        <item x="16"/>
        <item x="10"/>
        <item x="12"/>
        <item x="13"/>
        <item x="18"/>
        <item x="8"/>
        <item x="1"/>
        <item x="11"/>
        <item x="19"/>
        <item x="7"/>
        <item x="3"/>
        <item x="0"/>
      </items>
    </pivotField>
    <pivotField axis="axisPage" compact="0" outline="0" subtotalTop="0" showAll="0">
      <items count="16">
        <item x="5"/>
        <item x="10"/>
        <item x="12"/>
        <item x="6"/>
        <item x="1"/>
        <item x="13"/>
        <item x="11"/>
        <item x="3"/>
        <item x="14"/>
        <item x="4"/>
        <item x="7"/>
        <item x="2"/>
        <item x="9"/>
        <item x="8"/>
        <item x="0"/>
        <item t="default"/>
      </items>
    </pivotField>
    <pivotField axis="axisRow" compact="0" subtotalTop="0" showAll="0" defaultSubtotal="0">
      <items count="16">
        <item sd="0" x="0"/>
        <item x="2"/>
        <item x="8"/>
        <item x="1"/>
        <item x="11"/>
        <item x="10"/>
        <item x="7"/>
        <item x="4"/>
        <item x="15"/>
        <item x="14"/>
        <item x="13"/>
        <item x="12"/>
        <item x="3"/>
        <item x="6"/>
        <item x="5"/>
        <item x="9"/>
      </items>
    </pivotField>
    <pivotField axis="axisRow" compact="0" outline="0" subtotalTop="0" showAll="0" defaultSubtotal="0">
      <items count="12">
        <item x="11"/>
        <item x="7"/>
        <item x="2"/>
        <item x="9"/>
        <item x="4"/>
        <item x="10"/>
        <item x="5"/>
        <item x="6"/>
        <item x="1"/>
        <item x="3"/>
        <item x="8"/>
        <item x="0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7">
    <field x="6"/>
    <field x="7"/>
    <field x="1"/>
    <field x="2"/>
    <field x="3"/>
    <field x="4"/>
    <field x="-2"/>
  </rowFields>
  <rowItems count="97">
    <i>
      <x/>
    </i>
    <i r="1">
      <x v="32767"/>
      <x v="32767"/>
      <x v="32767"/>
      <x v="32767"/>
      <x v="32767"/>
      <x/>
    </i>
    <i i="1" r="6">
      <x v="1"/>
    </i>
    <i i="2" r="6">
      <x v="2"/>
    </i>
    <i>
      <x v="1"/>
    </i>
    <i r="1">
      <x v="1"/>
      <x v="13"/>
      <x v="15"/>
      <x v="12"/>
      <x v="6"/>
      <x/>
    </i>
    <i i="1" r="6">
      <x v="1"/>
    </i>
    <i i="2" r="6">
      <x v="2"/>
    </i>
    <i r="1">
      <x v="2"/>
      <x v="4"/>
      <x v="3"/>
      <x v="1"/>
      <x v="2"/>
      <x/>
    </i>
    <i i="1" r="6">
      <x v="1"/>
    </i>
    <i i="2" r="6">
      <x v="2"/>
    </i>
    <i>
      <x v="2"/>
    </i>
    <i r="1">
      <x v="7"/>
      <x v="3"/>
      <x v="2"/>
      <x v="6"/>
      <x v="13"/>
      <x/>
    </i>
    <i i="1" r="6">
      <x v="1"/>
    </i>
    <i i="2" r="6">
      <x v="2"/>
    </i>
    <i>
      <x v="3"/>
    </i>
    <i r="1">
      <x v="8"/>
      <x v="1"/>
      <x v="20"/>
      <x v="32767"/>
      <x v="32767"/>
      <x/>
    </i>
    <i i="1" r="6">
      <x v="1"/>
    </i>
    <i i="2" r="6">
      <x v="2"/>
    </i>
    <i>
      <x v="4"/>
    </i>
    <i r="1">
      <x v="8"/>
      <x v="16"/>
      <x v="17"/>
      <x v="14"/>
      <x v="7"/>
      <x/>
    </i>
    <i i="1" r="6">
      <x v="1"/>
    </i>
    <i i="2" r="6">
      <x v="2"/>
    </i>
    <i>
      <x v="5"/>
    </i>
    <i r="1">
      <x/>
      <x v="14"/>
      <x v="16"/>
      <x v="16"/>
      <x v="12"/>
      <x/>
    </i>
    <i i="1" r="6">
      <x v="1"/>
    </i>
    <i i="2" r="6">
      <x v="2"/>
    </i>
    <i r="1">
      <x v="3"/>
      <x v="2"/>
      <x v="4"/>
      <x v="8"/>
      <x v="15"/>
      <x/>
    </i>
    <i i="1" r="6">
      <x v="1"/>
    </i>
    <i i="2" r="6">
      <x v="2"/>
    </i>
    <i>
      <x v="6"/>
    </i>
    <i r="1">
      <x v="4"/>
      <x v="11"/>
      <x v="10"/>
      <x v="5"/>
      <x/>
      <x/>
    </i>
    <i i="1" r="6">
      <x v="1"/>
    </i>
    <i i="2" r="6">
      <x v="2"/>
    </i>
    <i>
      <x v="7"/>
    </i>
    <i r="1">
      <x v="8"/>
      <x v="7"/>
      <x v="6"/>
      <x v="3"/>
      <x v="1"/>
      <x/>
    </i>
    <i i="1" r="6">
      <x v="1"/>
    </i>
    <i i="2" r="6">
      <x v="2"/>
    </i>
    <i>
      <x v="8"/>
    </i>
    <i r="1">
      <x v="8"/>
      <x v="7"/>
      <x v="18"/>
      <x v="16"/>
      <x v="16"/>
      <x/>
    </i>
    <i i="1" r="6">
      <x v="1"/>
    </i>
    <i i="2" r="6">
      <x v="2"/>
    </i>
    <i>
      <x v="9"/>
    </i>
    <i r="1">
      <x v="8"/>
      <x v="7"/>
      <x v="19"/>
      <x v="16"/>
      <x v="16"/>
      <x/>
    </i>
    <i i="1" r="6">
      <x v="1"/>
    </i>
    <i i="2" r="6">
      <x v="2"/>
    </i>
    <i>
      <x v="10"/>
    </i>
    <i r="1">
      <x/>
      <x v="14"/>
      <x v="16"/>
      <x v="16"/>
      <x v="12"/>
      <x/>
    </i>
    <i i="1" r="6">
      <x v="1"/>
    </i>
    <i i="2" r="6">
      <x v="2"/>
    </i>
    <i>
      <x v="11"/>
    </i>
    <i r="1">
      <x v="1"/>
      <x v="13"/>
      <x v="15"/>
      <x v="15"/>
      <x v="10"/>
      <x/>
    </i>
    <i i="1" r="6">
      <x v="1"/>
    </i>
    <i i="2" r="6">
      <x v="2"/>
    </i>
    <i>
      <x v="12"/>
    </i>
    <i r="1">
      <x v="6"/>
      <x v="1"/>
      <x/>
      <x v="6"/>
      <x v="17"/>
      <x/>
    </i>
    <i i="1" r="6">
      <x v="1"/>
    </i>
    <i i="2" r="6">
      <x v="2"/>
    </i>
    <i r="2">
      <x v="15"/>
      <x v="14"/>
      <x v="13"/>
      <x v="8"/>
      <x/>
    </i>
    <i i="1" r="6">
      <x v="1"/>
    </i>
    <i i="2" r="6">
      <x v="2"/>
    </i>
    <i r="1">
      <x v="9"/>
      <x/>
      <x v="1"/>
      <x v="2"/>
      <x v="18"/>
      <x/>
    </i>
    <i i="1" r="6">
      <x v="1"/>
    </i>
    <i i="2" r="6">
      <x v="2"/>
    </i>
    <i>
      <x v="13"/>
    </i>
    <i r="1">
      <x v="1"/>
      <x v="7"/>
      <x v="9"/>
      <x v="6"/>
      <x v="5"/>
      <x/>
    </i>
    <i i="1" r="6">
      <x v="1"/>
    </i>
    <i i="2" r="6">
      <x v="2"/>
    </i>
    <i r="1">
      <x v="6"/>
      <x v="6"/>
      <x v="11"/>
      <x v="9"/>
      <x v="10"/>
      <x/>
    </i>
    <i i="1" r="6">
      <x v="1"/>
    </i>
    <i i="2" r="6">
      <x v="2"/>
    </i>
    <i r="2">
      <x v="10"/>
      <x v="10"/>
      <x v="5"/>
      <x v="1"/>
      <x/>
    </i>
    <i i="1" r="6">
      <x v="1"/>
    </i>
    <i i="2" r="6">
      <x v="2"/>
    </i>
    <i r="2">
      <x v="12"/>
      <x v="13"/>
      <x v="11"/>
      <x v="4"/>
      <x/>
    </i>
    <i i="1" r="6">
      <x v="1"/>
    </i>
    <i i="2" r="6">
      <x v="2"/>
    </i>
    <i>
      <x v="14"/>
    </i>
    <i r="1">
      <x v="4"/>
      <x v="9"/>
      <x v="8"/>
      <x v="4"/>
      <x v="3"/>
      <x/>
    </i>
    <i i="1" r="6">
      <x v="1"/>
    </i>
    <i i="2" r="6">
      <x v="2"/>
    </i>
    <i r="2">
      <x v="11"/>
      <x v="10"/>
      <x v="5"/>
      <x/>
      <x/>
    </i>
    <i i="1" r="6">
      <x v="1"/>
    </i>
    <i i="2" r="6">
      <x v="2"/>
    </i>
    <i r="1">
      <x v="5"/>
      <x v="8"/>
      <x v="7"/>
      <x v="10"/>
      <x v="11"/>
      <x/>
    </i>
    <i i="1" r="6">
      <x v="1"/>
    </i>
    <i i="2" r="6">
      <x v="2"/>
    </i>
    <i r="1">
      <x v="6"/>
      <x v="6"/>
      <x v="12"/>
      <x v="9"/>
      <x v="10"/>
      <x/>
    </i>
    <i i="1" r="6">
      <x v="1"/>
    </i>
    <i i="2" r="6">
      <x v="2"/>
    </i>
    <i>
      <x v="15"/>
    </i>
    <i r="1">
      <x v="10"/>
      <x v="5"/>
      <x v="5"/>
      <x v="7"/>
      <x v="9"/>
      <x/>
    </i>
    <i i="1" r="6">
      <x v="1"/>
    </i>
    <i i="2" r="6">
      <x v="2"/>
    </i>
    <i t="grand">
      <x/>
    </i>
    <i t="grand" i="1">
      <x/>
    </i>
    <i t="grand" i="2">
      <x/>
    </i>
  </rowItems>
  <colItems count="1">
    <i/>
  </colItems>
  <pageFields count="1">
    <pageField fld="5" hier="0"/>
  </pageFields>
  <dataFields count="3">
    <dataField name="Sum of Consulting" fld="8" baseField="0" baseItem="0"/>
    <dataField name="Sum of Devlpmnt" fld="9" baseField="0" baseItem="0"/>
    <dataField name="Sum of Support" fld="10" baseField="0" baseItem="0"/>
  </dataFields>
  <formats count="1">
    <format dxfId="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n.com/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nn.com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workbookViewId="0" topLeftCell="A1">
      <selection activeCell="H3" sqref="H3"/>
    </sheetView>
  </sheetViews>
  <sheetFormatPr defaultColWidth="9.140625" defaultRowHeight="12.75"/>
  <sheetData>
    <row r="1" ht="20.25">
      <c r="A1" s="373" t="s">
        <v>457</v>
      </c>
    </row>
    <row r="3" spans="1:15" ht="12.75">
      <c r="A3" s="371" t="s">
        <v>29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2.75">
      <c r="A4" s="371" t="s">
        <v>30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6" spans="1:15" ht="12.75">
      <c r="A6" s="372" t="s">
        <v>28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</row>
    <row r="7" spans="1:15" ht="12.75">
      <c r="A7" s="372" t="s">
        <v>31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</row>
    <row r="8" spans="1:15" ht="12.75">
      <c r="A8" s="372" t="s">
        <v>32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.75">
      <c r="A9" s="372" t="s">
        <v>33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.75">
      <c r="A10" s="372" t="s">
        <v>34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.75">
      <c r="A11" s="372" t="s">
        <v>35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</row>
    <row r="12" spans="1:15" ht="12.75">
      <c r="A12" s="372" t="s">
        <v>36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.75">
      <c r="A13" s="372" t="s">
        <v>37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.75">
      <c r="A14" s="372" t="s">
        <v>38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.75">
      <c r="A15" s="372" t="s">
        <v>39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.75">
      <c r="A16" s="372" t="s">
        <v>40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</row>
    <row r="17" spans="1:15" ht="12.75">
      <c r="A17" s="372" t="s">
        <v>41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.75">
      <c r="A18" s="372" t="s">
        <v>42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59"/>
  <sheetViews>
    <sheetView workbookViewId="0" topLeftCell="A1">
      <selection activeCell="A12" sqref="A12"/>
    </sheetView>
  </sheetViews>
  <sheetFormatPr defaultColWidth="9.140625" defaultRowHeight="12.75"/>
  <cols>
    <col min="1" max="1" width="3.28125" style="0" customWidth="1"/>
    <col min="2" max="2" width="6.7109375" style="8" customWidth="1"/>
    <col min="3" max="3" width="17.8515625" style="0" customWidth="1"/>
    <col min="4" max="4" width="36.28125" style="1" customWidth="1"/>
    <col min="5" max="6" width="14.140625" style="0" customWidth="1"/>
    <col min="7" max="7" width="2.00390625" style="0" customWidth="1"/>
    <col min="8" max="8" width="35.7109375" style="0" customWidth="1"/>
  </cols>
  <sheetData>
    <row r="1" spans="1:4" ht="15.75">
      <c r="A1" s="10" t="s">
        <v>385</v>
      </c>
      <c r="D1"/>
    </row>
    <row r="2" spans="1:8" s="14" customFormat="1" ht="14.25" customHeight="1">
      <c r="A2" s="11" t="s">
        <v>390</v>
      </c>
      <c r="B2" s="11" t="s">
        <v>384</v>
      </c>
      <c r="C2" s="11" t="s">
        <v>426</v>
      </c>
      <c r="D2" s="12" t="s">
        <v>379</v>
      </c>
      <c r="E2" s="12" t="s">
        <v>404</v>
      </c>
      <c r="F2" s="13" t="s">
        <v>380</v>
      </c>
      <c r="G2" s="13"/>
      <c r="H2" s="13" t="s">
        <v>382</v>
      </c>
    </row>
    <row r="3" spans="1:8" s="14" customFormat="1" ht="14.25" customHeight="1">
      <c r="A3" s="15">
        <v>0</v>
      </c>
      <c r="B3" s="97"/>
      <c r="C3" s="17"/>
      <c r="D3" s="20"/>
      <c r="E3" s="40"/>
      <c r="F3" s="189"/>
      <c r="G3" s="190"/>
      <c r="H3" s="170"/>
    </row>
    <row r="4" spans="1:8" s="19" customFormat="1" ht="12.75">
      <c r="A4" s="15"/>
      <c r="B4" s="16"/>
      <c r="C4" s="17"/>
      <c r="D4" s="20"/>
      <c r="E4" s="17"/>
      <c r="F4" s="29"/>
      <c r="G4" s="46"/>
      <c r="H4" s="20"/>
    </row>
    <row r="5" spans="1:7" s="19" customFormat="1" ht="12.75">
      <c r="A5" s="188">
        <f>MAX(A3:A4)</f>
        <v>0</v>
      </c>
      <c r="B5" s="21"/>
      <c r="D5" s="22"/>
      <c r="F5" s="62">
        <f>SUM(F4:F4)</f>
        <v>0</v>
      </c>
      <c r="G5" s="62"/>
    </row>
    <row r="6" spans="2:4" s="19" customFormat="1" ht="12.75">
      <c r="B6" s="21"/>
      <c r="D6" s="22"/>
    </row>
    <row r="7" spans="1:4" s="19" customFormat="1" ht="15.75">
      <c r="A7" s="10" t="s">
        <v>238</v>
      </c>
      <c r="B7" s="21"/>
      <c r="D7" s="22"/>
    </row>
    <row r="8" spans="1:8" s="14" customFormat="1" ht="14.25" customHeight="1">
      <c r="A8" s="11" t="s">
        <v>390</v>
      </c>
      <c r="B8" s="11" t="s">
        <v>202</v>
      </c>
      <c r="C8" s="11" t="s">
        <v>426</v>
      </c>
      <c r="D8" s="12" t="s">
        <v>379</v>
      </c>
      <c r="E8" s="12" t="s">
        <v>404</v>
      </c>
      <c r="F8" s="13" t="s">
        <v>380</v>
      </c>
      <c r="G8" s="13"/>
      <c r="H8" s="13" t="s">
        <v>382</v>
      </c>
    </row>
    <row r="9" spans="1:8" s="14" customFormat="1" ht="14.25" customHeight="1">
      <c r="A9" s="15">
        <v>1</v>
      </c>
      <c r="B9" s="97">
        <v>37354</v>
      </c>
      <c r="C9" s="17" t="s">
        <v>53</v>
      </c>
      <c r="D9" s="20" t="s">
        <v>262</v>
      </c>
      <c r="E9" s="40" t="s">
        <v>418</v>
      </c>
      <c r="F9" s="61">
        <v>75000</v>
      </c>
      <c r="G9" s="63"/>
      <c r="H9" s="20"/>
    </row>
    <row r="10" spans="1:8" s="14" customFormat="1" ht="14.25" customHeight="1">
      <c r="A10" s="15">
        <f>A9+1</f>
        <v>2</v>
      </c>
      <c r="B10" s="97">
        <v>37354</v>
      </c>
      <c r="C10" s="17" t="s">
        <v>52</v>
      </c>
      <c r="D10" s="20" t="s">
        <v>54</v>
      </c>
      <c r="E10" s="40" t="s">
        <v>409</v>
      </c>
      <c r="F10" s="61">
        <v>150000</v>
      </c>
      <c r="G10" s="63"/>
      <c r="H10" s="20"/>
    </row>
    <row r="11" spans="1:8" s="19" customFormat="1" ht="12.75">
      <c r="A11" s="15"/>
      <c r="B11" s="16"/>
      <c r="C11" s="17"/>
      <c r="D11" s="20"/>
      <c r="E11" s="17"/>
      <c r="F11" s="29"/>
      <c r="G11" s="46"/>
      <c r="H11" s="20"/>
    </row>
    <row r="12" spans="1:7" s="19" customFormat="1" ht="12.75">
      <c r="A12" s="84">
        <f>MAX(A9:A10)</f>
        <v>2</v>
      </c>
      <c r="B12" s="21"/>
      <c r="D12" s="22"/>
      <c r="F12" s="62">
        <f>SUM(F9:F11)</f>
        <v>225000</v>
      </c>
      <c r="G12" s="62"/>
    </row>
    <row r="13" spans="2:4" s="19" customFormat="1" ht="12.75">
      <c r="B13" s="21"/>
      <c r="D13" s="22"/>
    </row>
    <row r="14" spans="2:4" s="19" customFormat="1" ht="12.75">
      <c r="B14" s="21"/>
      <c r="D14" s="22"/>
    </row>
    <row r="15" spans="2:4" s="19" customFormat="1" ht="12.75">
      <c r="B15" s="21"/>
      <c r="D15" s="22"/>
    </row>
    <row r="16" spans="2:4" s="19" customFormat="1" ht="12.75">
      <c r="B16" s="21"/>
      <c r="D16" s="22"/>
    </row>
    <row r="17" spans="2:4" s="19" customFormat="1" ht="12.75">
      <c r="B17" s="21"/>
      <c r="D17" s="22"/>
    </row>
    <row r="18" spans="2:4" s="19" customFormat="1" ht="12.75">
      <c r="B18" s="21"/>
      <c r="D18" s="22"/>
    </row>
    <row r="19" spans="2:4" s="19" customFormat="1" ht="12.75">
      <c r="B19" s="21"/>
      <c r="D19" s="22"/>
    </row>
    <row r="20" spans="2:4" s="19" customFormat="1" ht="12.75">
      <c r="B20" s="21"/>
      <c r="D20" s="22"/>
    </row>
    <row r="21" spans="2:4" s="19" customFormat="1" ht="12.75">
      <c r="B21" s="21"/>
      <c r="D21" s="22"/>
    </row>
    <row r="22" spans="2:4" s="19" customFormat="1" ht="12.75">
      <c r="B22" s="21"/>
      <c r="D22" s="22"/>
    </row>
    <row r="23" spans="2:4" s="19" customFormat="1" ht="12.75">
      <c r="B23" s="21"/>
      <c r="D23" s="22"/>
    </row>
    <row r="24" spans="2:4" s="19" customFormat="1" ht="12.75">
      <c r="B24" s="21"/>
      <c r="D24" s="22"/>
    </row>
    <row r="25" spans="2:4" s="19" customFormat="1" ht="12.75">
      <c r="B25" s="21"/>
      <c r="D25" s="22"/>
    </row>
    <row r="26" spans="2:4" s="19" customFormat="1" ht="12.75">
      <c r="B26" s="21"/>
      <c r="D26" s="22"/>
    </row>
    <row r="27" spans="2:4" s="19" customFormat="1" ht="12.75">
      <c r="B27" s="21"/>
      <c r="D27" s="22"/>
    </row>
    <row r="28" spans="2:4" s="19" customFormat="1" ht="12.75">
      <c r="B28" s="21"/>
      <c r="D28" s="22"/>
    </row>
    <row r="29" spans="2:4" s="19" customFormat="1" ht="12.75">
      <c r="B29" s="21"/>
      <c r="D29" s="22"/>
    </row>
    <row r="30" spans="2:4" s="19" customFormat="1" ht="12.75">
      <c r="B30" s="21"/>
      <c r="D30" s="22"/>
    </row>
    <row r="31" spans="2:4" s="19" customFormat="1" ht="12.75">
      <c r="B31" s="21"/>
      <c r="D31" s="22"/>
    </row>
    <row r="32" spans="2:4" s="19" customFormat="1" ht="12.75">
      <c r="B32" s="21"/>
      <c r="D32" s="22"/>
    </row>
    <row r="33" spans="2:4" s="19" customFormat="1" ht="12.75">
      <c r="B33" s="21"/>
      <c r="D33" s="22"/>
    </row>
    <row r="34" spans="2:4" s="19" customFormat="1" ht="12.75">
      <c r="B34" s="21"/>
      <c r="D34" s="22"/>
    </row>
    <row r="35" spans="2:4" s="19" customFormat="1" ht="12.75">
      <c r="B35" s="21"/>
      <c r="D35" s="22"/>
    </row>
    <row r="36" spans="2:4" s="19" customFormat="1" ht="12.75">
      <c r="B36" s="21"/>
      <c r="D36" s="22"/>
    </row>
    <row r="37" spans="2:4" s="19" customFormat="1" ht="12.75">
      <c r="B37" s="21"/>
      <c r="D37" s="22"/>
    </row>
    <row r="38" spans="2:4" s="19" customFormat="1" ht="12.75">
      <c r="B38" s="21"/>
      <c r="D38" s="22"/>
    </row>
    <row r="39" spans="2:4" s="19" customFormat="1" ht="12.75">
      <c r="B39" s="21"/>
      <c r="D39" s="22"/>
    </row>
    <row r="40" spans="2:4" s="19" customFormat="1" ht="12.75">
      <c r="B40" s="21"/>
      <c r="D40" s="22"/>
    </row>
    <row r="41" spans="2:4" s="19" customFormat="1" ht="12.75">
      <c r="B41" s="21"/>
      <c r="D41" s="22"/>
    </row>
    <row r="42" spans="2:4" s="19" customFormat="1" ht="12.75">
      <c r="B42" s="21"/>
      <c r="D42" s="22"/>
    </row>
    <row r="43" spans="2:4" s="19" customFormat="1" ht="12.75">
      <c r="B43" s="21"/>
      <c r="D43" s="22"/>
    </row>
    <row r="44" spans="2:4" s="19" customFormat="1" ht="12.75">
      <c r="B44" s="21"/>
      <c r="D44" s="22"/>
    </row>
    <row r="45" spans="2:4" s="19" customFormat="1" ht="12.75">
      <c r="B45" s="21"/>
      <c r="D45" s="22"/>
    </row>
    <row r="46" spans="2:4" s="19" customFormat="1" ht="12.75">
      <c r="B46" s="21"/>
      <c r="D46" s="22"/>
    </row>
    <row r="47" spans="2:4" s="19" customFormat="1" ht="12.75">
      <c r="B47" s="21"/>
      <c r="D47" s="22"/>
    </row>
    <row r="48" spans="2:4" s="19" customFormat="1" ht="12.75">
      <c r="B48" s="21"/>
      <c r="D48" s="22"/>
    </row>
    <row r="49" spans="2:4" s="19" customFormat="1" ht="12.75">
      <c r="B49" s="21"/>
      <c r="D49" s="22"/>
    </row>
    <row r="50" spans="2:4" s="19" customFormat="1" ht="12.75">
      <c r="B50" s="21"/>
      <c r="D50" s="22"/>
    </row>
    <row r="51" spans="2:4" s="19" customFormat="1" ht="12.75">
      <c r="B51" s="21"/>
      <c r="D51" s="22"/>
    </row>
    <row r="52" spans="2:4" s="19" customFormat="1" ht="12.75">
      <c r="B52" s="21"/>
      <c r="D52" s="22"/>
    </row>
    <row r="53" spans="2:4" s="19" customFormat="1" ht="12.75">
      <c r="B53" s="21"/>
      <c r="D53" s="22"/>
    </row>
    <row r="54" spans="2:4" s="19" customFormat="1" ht="12.75">
      <c r="B54" s="21"/>
      <c r="D54" s="22"/>
    </row>
    <row r="55" spans="2:4" s="19" customFormat="1" ht="12.75">
      <c r="B55" s="21"/>
      <c r="D55" s="22"/>
    </row>
    <row r="56" spans="2:4" s="19" customFormat="1" ht="12.75">
      <c r="B56" s="21"/>
      <c r="D56" s="22"/>
    </row>
    <row r="57" spans="2:4" s="19" customFormat="1" ht="12.75">
      <c r="B57" s="21"/>
      <c r="D57" s="22"/>
    </row>
    <row r="58" spans="2:4" s="19" customFormat="1" ht="12.75">
      <c r="B58" s="21"/>
      <c r="D58" s="22"/>
    </row>
    <row r="59" spans="2:4" s="19" customFormat="1" ht="12.75">
      <c r="B59" s="21"/>
      <c r="D59" s="22"/>
    </row>
  </sheetData>
  <printOptions/>
  <pageMargins left="0.75" right="0.75" top="1" bottom="1" header="0.5" footer="0.5"/>
  <pageSetup horizontalDpi="300" verticalDpi="300" orientation="landscape" scale="90" r:id="rId1"/>
  <headerFooter alignWithMargins="0">
    <oddHeader>&amp;C&amp;"Arial,Bold"&amp;14Proposal and Lead Tracker&amp;R&amp;"Arial,Bold"&amp;14&amp;D</oddHeader>
    <oddFooter>&amp;L
&amp;C&amp;"Arial,Bold"&amp;14CONFIDENTIAL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14"/>
  <sheetViews>
    <sheetView workbookViewId="0" topLeftCell="A1">
      <pane ySplit="2" topLeftCell="BM102" activePane="bottomLeft" state="frozen"/>
      <selection pane="topLeft" activeCell="A1" sqref="A1"/>
      <selection pane="bottomLeft" activeCell="A114" sqref="A114"/>
    </sheetView>
  </sheetViews>
  <sheetFormatPr defaultColWidth="9.140625" defaultRowHeight="12.75"/>
  <cols>
    <col min="1" max="1" width="4.421875" style="0" customWidth="1"/>
    <col min="2" max="2" width="8.140625" style="3" bestFit="1" customWidth="1"/>
    <col min="3" max="3" width="21.00390625" style="1" customWidth="1"/>
    <col min="4" max="4" width="28.00390625" style="22" customWidth="1"/>
    <col min="5" max="5" width="6.7109375" style="0" customWidth="1"/>
    <col min="6" max="6" width="12.28125" style="0" bestFit="1" customWidth="1"/>
    <col min="7" max="7" width="1.8515625" style="0" customWidth="1"/>
    <col min="8" max="8" width="11.28125" style="58" bestFit="1" customWidth="1"/>
    <col min="9" max="9" width="6.57421875" style="0" bestFit="1" customWidth="1"/>
    <col min="10" max="10" width="8.28125" style="58" customWidth="1"/>
    <col min="11" max="12" width="8.57421875" style="58" customWidth="1"/>
  </cols>
  <sheetData>
    <row r="1" ht="15.75">
      <c r="A1" s="9" t="s">
        <v>62</v>
      </c>
    </row>
    <row r="2" spans="1:12" s="39" customFormat="1" ht="28.5" customHeight="1">
      <c r="A2" s="38" t="s">
        <v>390</v>
      </c>
      <c r="B2" s="12" t="s">
        <v>399</v>
      </c>
      <c r="C2" s="12" t="s">
        <v>426</v>
      </c>
      <c r="D2" s="12" t="s">
        <v>223</v>
      </c>
      <c r="E2" s="12" t="s">
        <v>203</v>
      </c>
      <c r="F2" s="12" t="s">
        <v>380</v>
      </c>
      <c r="G2" s="12"/>
      <c r="H2" s="12" t="s">
        <v>417</v>
      </c>
      <c r="I2" s="12" t="s">
        <v>382</v>
      </c>
      <c r="J2" s="12" t="s">
        <v>12</v>
      </c>
      <c r="K2" s="12" t="s">
        <v>13</v>
      </c>
      <c r="L2" s="12" t="s">
        <v>187</v>
      </c>
    </row>
    <row r="3" spans="1:12" s="19" customFormat="1" ht="12.75">
      <c r="A3" s="24">
        <v>0</v>
      </c>
      <c r="B3" s="162"/>
      <c r="C3" s="26"/>
      <c r="D3" s="20"/>
      <c r="E3" s="33"/>
      <c r="F3" s="98"/>
      <c r="G3" s="99"/>
      <c r="H3" s="33"/>
      <c r="I3" s="20"/>
      <c r="J3" s="33"/>
      <c r="K3" s="33"/>
      <c r="L3" s="33"/>
    </row>
    <row r="4" spans="1:12" s="19" customFormat="1" ht="12.75">
      <c r="A4" s="24">
        <f aca="true" t="shared" si="0" ref="A4:A67">A3+1</f>
        <v>1</v>
      </c>
      <c r="B4" s="178">
        <v>36951</v>
      </c>
      <c r="C4" s="181" t="s">
        <v>302</v>
      </c>
      <c r="D4" s="85" t="s">
        <v>107</v>
      </c>
      <c r="E4" s="33" t="s">
        <v>415</v>
      </c>
      <c r="F4" s="28">
        <v>75000</v>
      </c>
      <c r="G4" s="57"/>
      <c r="H4" s="59">
        <v>0.1</v>
      </c>
      <c r="I4" s="20"/>
      <c r="J4" s="101"/>
      <c r="K4" s="101"/>
      <c r="L4" s="101"/>
    </row>
    <row r="5" spans="1:12" s="19" customFormat="1" ht="25.5">
      <c r="A5" s="24">
        <f t="shared" si="0"/>
        <v>2</v>
      </c>
      <c r="B5" s="178">
        <v>37165</v>
      </c>
      <c r="C5" s="181" t="s">
        <v>341</v>
      </c>
      <c r="D5" s="19" t="s">
        <v>215</v>
      </c>
      <c r="E5" s="33" t="s">
        <v>412</v>
      </c>
      <c r="F5" s="28">
        <v>25000</v>
      </c>
      <c r="G5" s="57"/>
      <c r="H5" s="59">
        <v>0.5</v>
      </c>
      <c r="I5" s="20"/>
      <c r="J5" s="101"/>
      <c r="K5" s="101"/>
      <c r="L5" s="101"/>
    </row>
    <row r="6" spans="1:12" s="19" customFormat="1" ht="12.75">
      <c r="A6" s="24">
        <f t="shared" si="0"/>
        <v>3</v>
      </c>
      <c r="B6" s="178">
        <v>37165</v>
      </c>
      <c r="C6" s="181" t="s">
        <v>359</v>
      </c>
      <c r="D6" s="85" t="s">
        <v>107</v>
      </c>
      <c r="E6" s="33" t="s">
        <v>8</v>
      </c>
      <c r="F6" s="28">
        <v>34000</v>
      </c>
      <c r="G6" s="57"/>
      <c r="H6" s="59">
        <v>0.1</v>
      </c>
      <c r="I6" s="20"/>
      <c r="J6" s="101"/>
      <c r="K6" s="101"/>
      <c r="L6" s="101"/>
    </row>
    <row r="7" spans="1:12" s="19" customFormat="1" ht="12.75">
      <c r="A7" s="24">
        <f t="shared" si="0"/>
        <v>4</v>
      </c>
      <c r="B7" s="162">
        <v>37210</v>
      </c>
      <c r="C7" s="146" t="s">
        <v>310</v>
      </c>
      <c r="D7" s="20" t="s">
        <v>60</v>
      </c>
      <c r="E7" s="33" t="s">
        <v>412</v>
      </c>
      <c r="F7" s="28">
        <v>124500</v>
      </c>
      <c r="G7" s="56"/>
      <c r="H7" s="33">
        <v>0</v>
      </c>
      <c r="I7" s="20"/>
      <c r="J7" s="101"/>
      <c r="K7" s="101"/>
      <c r="L7" s="101"/>
    </row>
    <row r="8" spans="1:12" s="19" customFormat="1" ht="12.75">
      <c r="A8" s="24">
        <f t="shared" si="0"/>
        <v>5</v>
      </c>
      <c r="B8" s="166">
        <v>37235</v>
      </c>
      <c r="C8" s="146" t="s">
        <v>311</v>
      </c>
      <c r="D8" s="20" t="s">
        <v>414</v>
      </c>
      <c r="E8" s="40" t="s">
        <v>197</v>
      </c>
      <c r="F8" s="29">
        <v>37000</v>
      </c>
      <c r="G8" s="57"/>
      <c r="H8" s="59">
        <v>0</v>
      </c>
      <c r="I8" s="20"/>
      <c r="J8" s="101"/>
      <c r="K8" s="101"/>
      <c r="L8" s="101"/>
    </row>
    <row r="9" spans="1:12" s="19" customFormat="1" ht="12.75">
      <c r="A9" s="24">
        <f t="shared" si="0"/>
        <v>6</v>
      </c>
      <c r="B9" s="162">
        <v>37240</v>
      </c>
      <c r="C9" s="17" t="s">
        <v>350</v>
      </c>
      <c r="D9" s="20" t="s">
        <v>220</v>
      </c>
      <c r="E9" s="33" t="s">
        <v>221</v>
      </c>
      <c r="F9" s="28">
        <v>260000</v>
      </c>
      <c r="G9" s="57"/>
      <c r="H9" s="33">
        <v>0.1</v>
      </c>
      <c r="I9" s="20"/>
      <c r="J9" s="101">
        <v>37240</v>
      </c>
      <c r="K9" s="101"/>
      <c r="L9" s="101"/>
    </row>
    <row r="10" spans="1:12" s="19" customFormat="1" ht="25.5">
      <c r="A10" s="24">
        <f t="shared" si="0"/>
        <v>7</v>
      </c>
      <c r="B10" s="162">
        <v>37240</v>
      </c>
      <c r="C10" s="181" t="s">
        <v>350</v>
      </c>
      <c r="D10" s="85" t="s">
        <v>213</v>
      </c>
      <c r="E10" s="33" t="s">
        <v>191</v>
      </c>
      <c r="F10" s="28">
        <v>45000</v>
      </c>
      <c r="G10" s="57"/>
      <c r="H10" s="33">
        <v>0.2</v>
      </c>
      <c r="I10" s="20"/>
      <c r="J10" s="101"/>
      <c r="K10" s="101"/>
      <c r="L10" s="101"/>
    </row>
    <row r="11" spans="1:12" s="19" customFormat="1" ht="12.75">
      <c r="A11" s="24">
        <f t="shared" si="0"/>
        <v>8</v>
      </c>
      <c r="B11" s="162">
        <v>37240</v>
      </c>
      <c r="C11" s="27" t="s">
        <v>341</v>
      </c>
      <c r="D11" s="20" t="s">
        <v>425</v>
      </c>
      <c r="E11" s="33" t="s">
        <v>188</v>
      </c>
      <c r="F11" s="28">
        <v>50000</v>
      </c>
      <c r="G11" s="57"/>
      <c r="H11" s="59">
        <v>0.1</v>
      </c>
      <c r="I11" s="20"/>
      <c r="J11" s="101"/>
      <c r="K11" s="101"/>
      <c r="L11" s="101"/>
    </row>
    <row r="12" spans="1:12" s="19" customFormat="1" ht="12.75">
      <c r="A12" s="24">
        <f t="shared" si="0"/>
        <v>9</v>
      </c>
      <c r="B12" s="162">
        <v>37243</v>
      </c>
      <c r="C12" s="17" t="s">
        <v>170</v>
      </c>
      <c r="D12" s="20" t="s">
        <v>157</v>
      </c>
      <c r="E12" s="33" t="s">
        <v>8</v>
      </c>
      <c r="F12" s="30">
        <v>189000</v>
      </c>
      <c r="G12" s="130"/>
      <c r="H12" s="33">
        <v>0.1</v>
      </c>
      <c r="I12" s="20"/>
      <c r="J12" s="101"/>
      <c r="K12" s="101"/>
      <c r="L12" s="101"/>
    </row>
    <row r="13" spans="1:12" s="19" customFormat="1" ht="25.5">
      <c r="A13" s="24">
        <f t="shared" si="0"/>
        <v>10</v>
      </c>
      <c r="B13" s="162">
        <v>37253</v>
      </c>
      <c r="C13" s="172" t="s">
        <v>312</v>
      </c>
      <c r="D13" s="18" t="s">
        <v>277</v>
      </c>
      <c r="E13" s="40" t="s">
        <v>418</v>
      </c>
      <c r="F13" s="29">
        <v>125000</v>
      </c>
      <c r="G13" s="57"/>
      <c r="H13" s="33">
        <v>0.1</v>
      </c>
      <c r="I13" s="20"/>
      <c r="J13" s="101"/>
      <c r="K13" s="101"/>
      <c r="L13" s="101"/>
    </row>
    <row r="14" spans="1:12" s="19" customFormat="1" ht="12.75">
      <c r="A14" s="24">
        <f t="shared" si="0"/>
        <v>11</v>
      </c>
      <c r="B14" s="162">
        <v>37254</v>
      </c>
      <c r="C14" s="146" t="s">
        <v>24</v>
      </c>
      <c r="D14" s="20" t="s">
        <v>429</v>
      </c>
      <c r="E14" s="40" t="s">
        <v>410</v>
      </c>
      <c r="F14" s="29">
        <v>75000</v>
      </c>
      <c r="G14" s="57"/>
      <c r="H14" s="59">
        <v>0</v>
      </c>
      <c r="I14" s="20"/>
      <c r="J14" s="101"/>
      <c r="K14" s="101"/>
      <c r="L14" s="101"/>
    </row>
    <row r="15" spans="1:12" s="19" customFormat="1" ht="25.5">
      <c r="A15" s="24">
        <f t="shared" si="0"/>
        <v>12</v>
      </c>
      <c r="B15" s="162">
        <v>37259</v>
      </c>
      <c r="C15" s="172" t="s">
        <v>313</v>
      </c>
      <c r="D15" s="20" t="s">
        <v>407</v>
      </c>
      <c r="E15" s="64" t="s">
        <v>422</v>
      </c>
      <c r="F15" s="29">
        <v>150000</v>
      </c>
      <c r="G15" s="57"/>
      <c r="H15" s="59">
        <v>0</v>
      </c>
      <c r="I15" s="20"/>
      <c r="J15" s="101"/>
      <c r="K15" s="101"/>
      <c r="L15" s="101"/>
    </row>
    <row r="16" spans="1:12" s="19" customFormat="1" ht="12.75">
      <c r="A16" s="24">
        <f t="shared" si="0"/>
        <v>13</v>
      </c>
      <c r="B16" s="162">
        <v>37259</v>
      </c>
      <c r="C16" s="120" t="s">
        <v>341</v>
      </c>
      <c r="D16" s="77" t="s">
        <v>297</v>
      </c>
      <c r="E16" s="40" t="s">
        <v>410</v>
      </c>
      <c r="F16" s="29">
        <v>35000</v>
      </c>
      <c r="G16" s="44"/>
      <c r="H16" s="33">
        <v>0.1</v>
      </c>
      <c r="I16" s="20"/>
      <c r="J16" s="101"/>
      <c r="K16" s="101"/>
      <c r="L16" s="101"/>
    </row>
    <row r="17" spans="1:12" s="19" customFormat="1" ht="12.75">
      <c r="A17" s="24">
        <f t="shared" si="0"/>
        <v>14</v>
      </c>
      <c r="B17" s="162">
        <v>37261</v>
      </c>
      <c r="C17" s="146" t="s">
        <v>308</v>
      </c>
      <c r="D17" s="18" t="s">
        <v>59</v>
      </c>
      <c r="E17" s="40" t="s">
        <v>405</v>
      </c>
      <c r="F17" s="29">
        <v>50000</v>
      </c>
      <c r="G17" s="57"/>
      <c r="H17" s="59">
        <v>0.1</v>
      </c>
      <c r="I17" s="20"/>
      <c r="J17" s="101"/>
      <c r="K17" s="101"/>
      <c r="L17" s="101"/>
    </row>
    <row r="18" spans="1:12" s="19" customFormat="1" ht="25.5">
      <c r="A18" s="24">
        <f t="shared" si="0"/>
        <v>15</v>
      </c>
      <c r="B18" s="162">
        <v>37261</v>
      </c>
      <c r="C18" s="179" t="s">
        <v>308</v>
      </c>
      <c r="D18" s="20" t="s">
        <v>237</v>
      </c>
      <c r="E18" s="40" t="s">
        <v>103</v>
      </c>
      <c r="F18" s="28">
        <v>245000</v>
      </c>
      <c r="G18" s="57"/>
      <c r="H18" s="59">
        <v>0.1</v>
      </c>
      <c r="I18" s="20"/>
      <c r="J18" s="101"/>
      <c r="K18" s="101"/>
      <c r="L18" s="101"/>
    </row>
    <row r="19" spans="1:12" s="19" customFormat="1" ht="25.5">
      <c r="A19" s="24">
        <f t="shared" si="0"/>
        <v>16</v>
      </c>
      <c r="B19" s="162">
        <v>37267</v>
      </c>
      <c r="C19" s="172" t="s">
        <v>314</v>
      </c>
      <c r="D19" s="20" t="s">
        <v>278</v>
      </c>
      <c r="E19" s="33" t="s">
        <v>104</v>
      </c>
      <c r="F19" s="29">
        <f>33000*1.2</f>
        <v>39600</v>
      </c>
      <c r="G19" s="57"/>
      <c r="H19" s="59">
        <v>0.1</v>
      </c>
      <c r="I19" s="20"/>
      <c r="J19" s="101"/>
      <c r="K19" s="101"/>
      <c r="L19" s="101"/>
    </row>
    <row r="20" spans="1:12" s="19" customFormat="1" ht="12.75">
      <c r="A20" s="24">
        <f t="shared" si="0"/>
        <v>17</v>
      </c>
      <c r="B20" s="162">
        <v>37270</v>
      </c>
      <c r="C20" s="146" t="s">
        <v>428</v>
      </c>
      <c r="D20" s="20" t="s">
        <v>429</v>
      </c>
      <c r="E20" s="33" t="s">
        <v>405</v>
      </c>
      <c r="F20" s="29">
        <v>25000</v>
      </c>
      <c r="G20" s="57"/>
      <c r="H20" s="59">
        <v>0.1</v>
      </c>
      <c r="I20" s="20"/>
      <c r="J20" s="101"/>
      <c r="K20" s="101"/>
      <c r="L20" s="101"/>
    </row>
    <row r="21" spans="1:12" s="19" customFormat="1" ht="12.75">
      <c r="A21" s="24">
        <f t="shared" si="0"/>
        <v>18</v>
      </c>
      <c r="B21" s="162">
        <v>37271</v>
      </c>
      <c r="C21" s="146" t="s">
        <v>308</v>
      </c>
      <c r="D21" s="20" t="s">
        <v>429</v>
      </c>
      <c r="E21" s="40" t="s">
        <v>405</v>
      </c>
      <c r="F21" s="29">
        <v>50000</v>
      </c>
      <c r="G21" s="57"/>
      <c r="H21" s="59">
        <v>0.1</v>
      </c>
      <c r="I21" s="20"/>
      <c r="J21" s="101"/>
      <c r="K21" s="101"/>
      <c r="L21" s="101"/>
    </row>
    <row r="22" spans="1:12" s="19" customFormat="1" ht="12.75">
      <c r="A22" s="24">
        <f t="shared" si="0"/>
        <v>19</v>
      </c>
      <c r="B22" s="162">
        <v>37271</v>
      </c>
      <c r="C22" s="20" t="s">
        <v>315</v>
      </c>
      <c r="D22" s="20" t="s">
        <v>335</v>
      </c>
      <c r="E22" s="33" t="s">
        <v>423</v>
      </c>
      <c r="F22" s="28">
        <v>124500</v>
      </c>
      <c r="G22" s="56"/>
      <c r="H22" s="40">
        <v>0.1</v>
      </c>
      <c r="I22" s="20"/>
      <c r="J22" s="101"/>
      <c r="K22" s="101"/>
      <c r="L22" s="101"/>
    </row>
    <row r="23" spans="1:12" s="19" customFormat="1" ht="12.75">
      <c r="A23" s="24">
        <f t="shared" si="0"/>
        <v>20</v>
      </c>
      <c r="B23" s="162">
        <v>37281</v>
      </c>
      <c r="C23" s="172" t="s">
        <v>316</v>
      </c>
      <c r="D23" s="20" t="s">
        <v>424</v>
      </c>
      <c r="E23" s="33" t="s">
        <v>412</v>
      </c>
      <c r="F23" s="28">
        <f>25000*1.2</f>
        <v>30000</v>
      </c>
      <c r="G23" s="57"/>
      <c r="H23" s="59">
        <v>0.1</v>
      </c>
      <c r="I23" s="20"/>
      <c r="J23" s="101"/>
      <c r="K23" s="101"/>
      <c r="L23" s="101"/>
    </row>
    <row r="24" spans="1:12" s="19" customFormat="1" ht="25.5">
      <c r="A24" s="24">
        <f t="shared" si="0"/>
        <v>21</v>
      </c>
      <c r="B24" s="162">
        <v>37284</v>
      </c>
      <c r="C24" s="146" t="s">
        <v>317</v>
      </c>
      <c r="D24" s="20" t="s">
        <v>279</v>
      </c>
      <c r="E24" s="33" t="s">
        <v>406</v>
      </c>
      <c r="F24" s="29">
        <v>150000</v>
      </c>
      <c r="G24" s="57"/>
      <c r="H24" s="59">
        <v>0.1</v>
      </c>
      <c r="I24" s="20"/>
      <c r="J24" s="101"/>
      <c r="K24" s="101"/>
      <c r="L24" s="101"/>
    </row>
    <row r="25" spans="1:12" s="19" customFormat="1" ht="25.5">
      <c r="A25" s="24">
        <f t="shared" si="0"/>
        <v>22</v>
      </c>
      <c r="B25" s="162">
        <v>37288</v>
      </c>
      <c r="C25" s="172" t="s">
        <v>318</v>
      </c>
      <c r="D25" s="18" t="s">
        <v>107</v>
      </c>
      <c r="E25" s="33" t="s">
        <v>410</v>
      </c>
      <c r="F25" s="28">
        <v>33000</v>
      </c>
      <c r="G25" s="57"/>
      <c r="H25" s="59">
        <v>0.1</v>
      </c>
      <c r="I25" s="20"/>
      <c r="J25" s="101"/>
      <c r="K25" s="101"/>
      <c r="L25" s="101"/>
    </row>
    <row r="26" spans="1:12" s="19" customFormat="1" ht="12.75">
      <c r="A26" s="24">
        <f t="shared" si="0"/>
        <v>23</v>
      </c>
      <c r="B26" s="162">
        <v>37292</v>
      </c>
      <c r="C26" s="172" t="s">
        <v>178</v>
      </c>
      <c r="D26" s="20" t="s">
        <v>411</v>
      </c>
      <c r="E26" s="64" t="s">
        <v>448</v>
      </c>
      <c r="F26" s="29">
        <v>200000</v>
      </c>
      <c r="G26" s="56"/>
      <c r="H26" s="33">
        <v>0.1</v>
      </c>
      <c r="I26" s="20"/>
      <c r="J26" s="101"/>
      <c r="K26" s="101"/>
      <c r="L26" s="101"/>
    </row>
    <row r="27" spans="1:12" s="19" customFormat="1" ht="25.5">
      <c r="A27" s="24">
        <f t="shared" si="0"/>
        <v>24</v>
      </c>
      <c r="B27" s="162">
        <v>37294</v>
      </c>
      <c r="C27" s="172" t="s">
        <v>325</v>
      </c>
      <c r="D27" s="20" t="s">
        <v>108</v>
      </c>
      <c r="E27" s="33" t="s">
        <v>21</v>
      </c>
      <c r="F27" s="121">
        <f>200000/6*5</f>
        <v>166666.6666666667</v>
      </c>
      <c r="G27" s="45"/>
      <c r="H27" s="34">
        <v>0.2</v>
      </c>
      <c r="I27" s="20"/>
      <c r="J27" s="101"/>
      <c r="K27" s="101"/>
      <c r="L27" s="101"/>
    </row>
    <row r="28" spans="1:12" s="19" customFormat="1" ht="12.75">
      <c r="A28" s="24">
        <f t="shared" si="0"/>
        <v>25</v>
      </c>
      <c r="B28" s="162">
        <v>37297</v>
      </c>
      <c r="C28" s="20" t="s">
        <v>158</v>
      </c>
      <c r="D28" s="20" t="s">
        <v>58</v>
      </c>
      <c r="E28" s="33" t="s">
        <v>405</v>
      </c>
      <c r="F28" s="28">
        <v>350000</v>
      </c>
      <c r="G28" s="56"/>
      <c r="H28" s="33">
        <v>0.1</v>
      </c>
      <c r="I28" s="20"/>
      <c r="J28" s="101"/>
      <c r="K28" s="101"/>
      <c r="L28" s="101"/>
    </row>
    <row r="29" spans="1:12" s="19" customFormat="1" ht="12.75">
      <c r="A29" s="24">
        <f t="shared" si="0"/>
        <v>26</v>
      </c>
      <c r="B29" s="162">
        <v>37299</v>
      </c>
      <c r="C29" s="181" t="s">
        <v>304</v>
      </c>
      <c r="D29" s="20" t="s">
        <v>145</v>
      </c>
      <c r="E29" s="33" t="s">
        <v>444</v>
      </c>
      <c r="F29" s="28">
        <v>44800</v>
      </c>
      <c r="G29" s="56"/>
      <c r="H29" s="40">
        <v>0.1</v>
      </c>
      <c r="I29" s="20"/>
      <c r="J29" s="101"/>
      <c r="K29" s="101"/>
      <c r="L29" s="101"/>
    </row>
    <row r="30" spans="1:12" s="19" customFormat="1" ht="12.75">
      <c r="A30" s="24">
        <f t="shared" si="0"/>
        <v>27</v>
      </c>
      <c r="B30" s="162">
        <v>37300</v>
      </c>
      <c r="C30" s="176" t="s">
        <v>67</v>
      </c>
      <c r="D30" s="20" t="s">
        <v>145</v>
      </c>
      <c r="E30" s="33" t="s">
        <v>419</v>
      </c>
      <c r="F30" s="28">
        <v>150000</v>
      </c>
      <c r="G30" s="56"/>
      <c r="H30" s="40">
        <v>0.1</v>
      </c>
      <c r="I30" s="20"/>
      <c r="J30" s="101"/>
      <c r="K30" s="101"/>
      <c r="L30" s="101"/>
    </row>
    <row r="31" spans="1:12" s="19" customFormat="1" ht="12.75">
      <c r="A31" s="24">
        <f t="shared" si="0"/>
        <v>28</v>
      </c>
      <c r="B31" s="162">
        <v>37301</v>
      </c>
      <c r="C31" s="177" t="s">
        <v>319</v>
      </c>
      <c r="D31" s="85" t="s">
        <v>262</v>
      </c>
      <c r="E31" s="87" t="s">
        <v>21</v>
      </c>
      <c r="F31" s="134">
        <v>34000</v>
      </c>
      <c r="G31" s="56"/>
      <c r="H31" s="40">
        <v>0.1</v>
      </c>
      <c r="I31" s="20"/>
      <c r="J31" s="101"/>
      <c r="K31" s="101"/>
      <c r="L31" s="101"/>
    </row>
    <row r="32" spans="1:12" s="19" customFormat="1" ht="12.75">
      <c r="A32" s="24">
        <f t="shared" si="0"/>
        <v>29</v>
      </c>
      <c r="B32" s="162">
        <v>37302</v>
      </c>
      <c r="C32" s="172" t="s">
        <v>321</v>
      </c>
      <c r="D32" s="20" t="s">
        <v>212</v>
      </c>
      <c r="E32" s="33" t="s">
        <v>420</v>
      </c>
      <c r="F32" s="28">
        <v>44000</v>
      </c>
      <c r="G32" s="56"/>
      <c r="H32" s="40"/>
      <c r="I32" s="20"/>
      <c r="J32" s="101"/>
      <c r="K32" s="101"/>
      <c r="L32" s="101"/>
    </row>
    <row r="33" spans="1:12" s="19" customFormat="1" ht="12.75">
      <c r="A33" s="24">
        <f t="shared" si="0"/>
        <v>30</v>
      </c>
      <c r="B33" s="162">
        <v>37302</v>
      </c>
      <c r="C33" s="20" t="s">
        <v>346</v>
      </c>
      <c r="D33" s="20" t="s">
        <v>261</v>
      </c>
      <c r="E33" s="33" t="s">
        <v>418</v>
      </c>
      <c r="F33" s="28">
        <v>30000</v>
      </c>
      <c r="G33" s="44"/>
      <c r="H33" s="33">
        <v>0.2</v>
      </c>
      <c r="I33" s="20"/>
      <c r="J33" s="101"/>
      <c r="K33" s="101"/>
      <c r="L33" s="101"/>
    </row>
    <row r="34" spans="1:12" s="19" customFormat="1" ht="12.75">
      <c r="A34" s="24">
        <f t="shared" si="0"/>
        <v>31</v>
      </c>
      <c r="B34" s="162">
        <v>37302</v>
      </c>
      <c r="C34" s="20" t="s">
        <v>452</v>
      </c>
      <c r="D34" s="85" t="s">
        <v>262</v>
      </c>
      <c r="E34" s="33" t="s">
        <v>194</v>
      </c>
      <c r="F34" s="28">
        <v>75000</v>
      </c>
      <c r="G34" s="56"/>
      <c r="H34" s="40">
        <v>0.1</v>
      </c>
      <c r="I34" s="20"/>
      <c r="J34" s="101"/>
      <c r="K34" s="101"/>
      <c r="L34" s="101"/>
    </row>
    <row r="35" spans="1:12" s="19" customFormat="1" ht="25.5">
      <c r="A35" s="24">
        <f t="shared" si="0"/>
        <v>32</v>
      </c>
      <c r="B35" s="166">
        <v>37305</v>
      </c>
      <c r="C35" s="181" t="s">
        <v>307</v>
      </c>
      <c r="D35" s="20" t="s">
        <v>47</v>
      </c>
      <c r="E35" s="33" t="s">
        <v>447</v>
      </c>
      <c r="F35" s="28">
        <v>39160</v>
      </c>
      <c r="G35" s="56"/>
      <c r="H35" s="40">
        <v>0.2</v>
      </c>
      <c r="I35" s="20"/>
      <c r="J35" s="101"/>
      <c r="K35" s="101"/>
      <c r="L35" s="101"/>
    </row>
    <row r="36" spans="1:12" s="19" customFormat="1" ht="12.75">
      <c r="A36" s="24">
        <f t="shared" si="0"/>
        <v>33</v>
      </c>
      <c r="B36" s="162">
        <v>37305</v>
      </c>
      <c r="C36" s="20" t="s">
        <v>307</v>
      </c>
      <c r="D36" s="85" t="s">
        <v>262</v>
      </c>
      <c r="E36" s="33" t="s">
        <v>405</v>
      </c>
      <c r="F36" s="28">
        <v>27000</v>
      </c>
      <c r="G36" s="56"/>
      <c r="H36" s="40">
        <v>0.2</v>
      </c>
      <c r="I36" s="20"/>
      <c r="J36" s="101"/>
      <c r="K36" s="101"/>
      <c r="L36" s="101"/>
    </row>
    <row r="37" spans="1:12" s="19" customFormat="1" ht="12.75">
      <c r="A37" s="24">
        <f t="shared" si="0"/>
        <v>34</v>
      </c>
      <c r="B37" s="166">
        <v>37308</v>
      </c>
      <c r="C37" s="175" t="s">
        <v>169</v>
      </c>
      <c r="D37" s="85" t="s">
        <v>262</v>
      </c>
      <c r="E37" s="33" t="s">
        <v>453</v>
      </c>
      <c r="F37" s="28">
        <v>65000</v>
      </c>
      <c r="G37" s="56"/>
      <c r="H37" s="40">
        <v>0.1</v>
      </c>
      <c r="I37" s="20"/>
      <c r="J37" s="101"/>
      <c r="K37" s="101"/>
      <c r="L37" s="101"/>
    </row>
    <row r="38" spans="1:12" s="19" customFormat="1" ht="12.75">
      <c r="A38" s="24">
        <f t="shared" si="0"/>
        <v>35</v>
      </c>
      <c r="B38" s="162">
        <v>37312</v>
      </c>
      <c r="C38" s="20" t="s">
        <v>349</v>
      </c>
      <c r="D38" s="20" t="s">
        <v>145</v>
      </c>
      <c r="E38" s="33" t="s">
        <v>405</v>
      </c>
      <c r="F38" s="28">
        <v>100000</v>
      </c>
      <c r="G38" s="56"/>
      <c r="H38" s="40">
        <v>0.1</v>
      </c>
      <c r="I38" s="20"/>
      <c r="J38" s="101"/>
      <c r="K38" s="101"/>
      <c r="L38" s="101"/>
    </row>
    <row r="39" spans="1:12" s="19" customFormat="1" ht="12.75">
      <c r="A39" s="24">
        <f t="shared" si="0"/>
        <v>36</v>
      </c>
      <c r="B39" s="162">
        <v>37314</v>
      </c>
      <c r="C39" s="20" t="s">
        <v>222</v>
      </c>
      <c r="D39" s="85" t="s">
        <v>262</v>
      </c>
      <c r="E39" s="33" t="s">
        <v>21</v>
      </c>
      <c r="F39" s="28">
        <v>25000</v>
      </c>
      <c r="G39" s="56"/>
      <c r="H39" s="40">
        <v>0.1</v>
      </c>
      <c r="I39" s="20"/>
      <c r="J39" s="101"/>
      <c r="K39" s="101"/>
      <c r="L39" s="101"/>
    </row>
    <row r="40" spans="1:12" s="19" customFormat="1" ht="12.75" customHeight="1">
      <c r="A40" s="24">
        <f t="shared" si="0"/>
        <v>37</v>
      </c>
      <c r="B40" s="185">
        <v>37316</v>
      </c>
      <c r="C40" s="17" t="s">
        <v>339</v>
      </c>
      <c r="D40" s="204" t="s">
        <v>145</v>
      </c>
      <c r="E40" s="33" t="s">
        <v>21</v>
      </c>
      <c r="F40" s="61">
        <v>74166</v>
      </c>
      <c r="G40" s="44"/>
      <c r="H40" s="34">
        <v>0.4</v>
      </c>
      <c r="I40" s="20"/>
      <c r="J40" s="101"/>
      <c r="K40" s="101"/>
      <c r="L40" s="101"/>
    </row>
    <row r="41" spans="1:12" s="19" customFormat="1" ht="12.75">
      <c r="A41" s="24">
        <f t="shared" si="0"/>
        <v>38</v>
      </c>
      <c r="B41" s="162">
        <v>37316</v>
      </c>
      <c r="C41" s="182" t="s">
        <v>285</v>
      </c>
      <c r="D41" s="20" t="s">
        <v>260</v>
      </c>
      <c r="E41" s="40" t="s">
        <v>8</v>
      </c>
      <c r="F41" s="61">
        <f>27000*3</f>
        <v>81000</v>
      </c>
      <c r="G41" s="56"/>
      <c r="H41" s="40">
        <v>0.1</v>
      </c>
      <c r="I41" s="20"/>
      <c r="J41" s="101"/>
      <c r="K41" s="101"/>
      <c r="L41" s="101"/>
    </row>
    <row r="42" spans="1:12" s="19" customFormat="1" ht="12.75">
      <c r="A42" s="24">
        <f t="shared" si="0"/>
        <v>39</v>
      </c>
      <c r="B42" s="162">
        <v>37316</v>
      </c>
      <c r="C42" s="180" t="s">
        <v>285</v>
      </c>
      <c r="D42" s="20" t="s">
        <v>89</v>
      </c>
      <c r="E42" s="40" t="s">
        <v>8</v>
      </c>
      <c r="F42" s="61">
        <v>20000</v>
      </c>
      <c r="G42" s="56"/>
      <c r="H42" s="40">
        <v>0.1</v>
      </c>
      <c r="I42" s="20"/>
      <c r="J42" s="101"/>
      <c r="K42" s="101"/>
      <c r="L42" s="101"/>
    </row>
    <row r="43" spans="1:12" s="19" customFormat="1" ht="12.75">
      <c r="A43" s="24">
        <f t="shared" si="0"/>
        <v>40</v>
      </c>
      <c r="B43" s="162">
        <v>37316</v>
      </c>
      <c r="C43" s="146" t="s">
        <v>285</v>
      </c>
      <c r="D43" s="85" t="s">
        <v>280</v>
      </c>
      <c r="E43" s="33" t="s">
        <v>22</v>
      </c>
      <c r="F43" s="28">
        <v>37000</v>
      </c>
      <c r="G43" s="44"/>
      <c r="H43" s="33">
        <v>0.1</v>
      </c>
      <c r="I43" s="20"/>
      <c r="J43" s="101"/>
      <c r="K43" s="101"/>
      <c r="L43" s="101"/>
    </row>
    <row r="44" spans="1:12" s="19" customFormat="1" ht="12.75">
      <c r="A44" s="24">
        <f t="shared" si="0"/>
        <v>41</v>
      </c>
      <c r="B44" s="166">
        <v>37328</v>
      </c>
      <c r="C44" s="172" t="s">
        <v>322</v>
      </c>
      <c r="D44" s="85" t="s">
        <v>262</v>
      </c>
      <c r="E44" s="33" t="s">
        <v>418</v>
      </c>
      <c r="F44" s="28">
        <v>90000</v>
      </c>
      <c r="G44" s="56"/>
      <c r="H44" s="40">
        <v>0.1</v>
      </c>
      <c r="I44" s="20"/>
      <c r="J44" s="101"/>
      <c r="K44" s="101"/>
      <c r="L44" s="101"/>
    </row>
    <row r="45" spans="1:12" s="19" customFormat="1" ht="25.5">
      <c r="A45" s="24">
        <f t="shared" si="0"/>
        <v>42</v>
      </c>
      <c r="B45" s="166">
        <v>37328</v>
      </c>
      <c r="C45" s="172" t="s">
        <v>322</v>
      </c>
      <c r="D45" s="85" t="s">
        <v>301</v>
      </c>
      <c r="E45" s="33" t="s">
        <v>8</v>
      </c>
      <c r="F45" s="28">
        <v>20000</v>
      </c>
      <c r="G45" s="56"/>
      <c r="H45" s="40">
        <v>0.1</v>
      </c>
      <c r="I45" s="20"/>
      <c r="J45" s="101"/>
      <c r="K45" s="101"/>
      <c r="L45" s="101"/>
    </row>
    <row r="46" spans="1:12" s="19" customFormat="1" ht="12.75">
      <c r="A46" s="24">
        <f t="shared" si="0"/>
        <v>43</v>
      </c>
      <c r="B46" s="166">
        <v>37329</v>
      </c>
      <c r="C46" s="172" t="s">
        <v>323</v>
      </c>
      <c r="D46" s="85" t="s">
        <v>145</v>
      </c>
      <c r="E46" s="33" t="s">
        <v>456</v>
      </c>
      <c r="F46" s="28">
        <v>74500</v>
      </c>
      <c r="G46" s="56"/>
      <c r="H46" s="40">
        <v>0.1</v>
      </c>
      <c r="I46" s="20"/>
      <c r="J46" s="101"/>
      <c r="K46" s="101"/>
      <c r="L46" s="101"/>
    </row>
    <row r="47" spans="1:12" s="19" customFormat="1" ht="12.75">
      <c r="A47" s="24">
        <f t="shared" si="0"/>
        <v>44</v>
      </c>
      <c r="B47" s="178">
        <v>37330</v>
      </c>
      <c r="C47" s="183" t="s">
        <v>345</v>
      </c>
      <c r="D47" s="20" t="s">
        <v>254</v>
      </c>
      <c r="E47" s="33" t="s">
        <v>4</v>
      </c>
      <c r="F47" s="28">
        <v>325000</v>
      </c>
      <c r="G47" s="56"/>
      <c r="H47" s="40">
        <v>0.5</v>
      </c>
      <c r="I47" s="20"/>
      <c r="J47" s="101"/>
      <c r="K47" s="101"/>
      <c r="L47" s="101"/>
    </row>
    <row r="48" spans="1:12" s="19" customFormat="1" ht="12.75">
      <c r="A48" s="24">
        <f t="shared" si="0"/>
        <v>45</v>
      </c>
      <c r="B48" s="162">
        <v>37330</v>
      </c>
      <c r="C48" s="88" t="s">
        <v>345</v>
      </c>
      <c r="D48" s="85" t="s">
        <v>255</v>
      </c>
      <c r="E48" s="33" t="s">
        <v>0</v>
      </c>
      <c r="F48" s="28">
        <v>230000</v>
      </c>
      <c r="G48" s="99"/>
      <c r="H48" s="40">
        <v>0.1</v>
      </c>
      <c r="I48" s="20"/>
      <c r="J48" s="101"/>
      <c r="K48" s="101"/>
      <c r="L48" s="101"/>
    </row>
    <row r="49" spans="1:12" s="19" customFormat="1" ht="12.75">
      <c r="A49" s="24">
        <f t="shared" si="0"/>
        <v>46</v>
      </c>
      <c r="B49" s="162">
        <v>37330</v>
      </c>
      <c r="C49" s="181" t="s">
        <v>357</v>
      </c>
      <c r="D49" s="20" t="s">
        <v>260</v>
      </c>
      <c r="E49" s="40" t="s">
        <v>10</v>
      </c>
      <c r="F49" s="28">
        <v>22000</v>
      </c>
      <c r="G49" s="56"/>
      <c r="H49" s="40">
        <v>0.5</v>
      </c>
      <c r="I49" s="20"/>
      <c r="J49" s="101"/>
      <c r="K49" s="101"/>
      <c r="L49" s="101"/>
    </row>
    <row r="50" spans="1:12" s="19" customFormat="1" ht="12.75">
      <c r="A50" s="24">
        <f t="shared" si="0"/>
        <v>47</v>
      </c>
      <c r="B50" s="162">
        <v>37334</v>
      </c>
      <c r="C50" s="183" t="s">
        <v>341</v>
      </c>
      <c r="D50" s="20" t="s">
        <v>145</v>
      </c>
      <c r="E50" s="33" t="s">
        <v>419</v>
      </c>
      <c r="F50" s="28">
        <v>30000</v>
      </c>
      <c r="G50" s="45"/>
      <c r="H50" s="34">
        <v>0.5</v>
      </c>
      <c r="I50" s="20"/>
      <c r="J50" s="101"/>
      <c r="K50" s="101"/>
      <c r="L50" s="101"/>
    </row>
    <row r="51" spans="1:12" s="19" customFormat="1" ht="12.75">
      <c r="A51" s="24">
        <f t="shared" si="0"/>
        <v>48</v>
      </c>
      <c r="B51" s="162">
        <v>37347</v>
      </c>
      <c r="C51" s="183" t="s">
        <v>304</v>
      </c>
      <c r="D51" s="20" t="s">
        <v>89</v>
      </c>
      <c r="E51" s="40" t="s">
        <v>22</v>
      </c>
      <c r="F51" s="28">
        <v>100000</v>
      </c>
      <c r="G51" s="56"/>
      <c r="H51" s="40">
        <v>0.5</v>
      </c>
      <c r="I51" s="20"/>
      <c r="J51" s="101"/>
      <c r="K51" s="101"/>
      <c r="L51" s="101"/>
    </row>
    <row r="52" spans="1:12" s="19" customFormat="1" ht="25.5">
      <c r="A52" s="24">
        <f t="shared" si="0"/>
        <v>49</v>
      </c>
      <c r="B52" s="162">
        <v>37342</v>
      </c>
      <c r="C52" s="146" t="s">
        <v>327</v>
      </c>
      <c r="D52" s="17" t="s">
        <v>145</v>
      </c>
      <c r="E52" s="40" t="s">
        <v>378</v>
      </c>
      <c r="F52" s="28">
        <v>75000</v>
      </c>
      <c r="G52" s="46"/>
      <c r="H52" s="40">
        <v>0.1</v>
      </c>
      <c r="I52" s="20"/>
      <c r="J52" s="101"/>
      <c r="K52" s="101">
        <v>37347</v>
      </c>
      <c r="L52" s="101">
        <v>37420</v>
      </c>
    </row>
    <row r="53" spans="1:12" s="19" customFormat="1" ht="12.75">
      <c r="A53" s="24">
        <f t="shared" si="0"/>
        <v>50</v>
      </c>
      <c r="B53" s="162">
        <v>37347</v>
      </c>
      <c r="C53" s="17" t="s">
        <v>339</v>
      </c>
      <c r="D53" s="17" t="s">
        <v>200</v>
      </c>
      <c r="E53" s="33" t="s">
        <v>21</v>
      </c>
      <c r="F53" s="28">
        <v>500000</v>
      </c>
      <c r="G53" s="56"/>
      <c r="H53" s="40">
        <v>0.1</v>
      </c>
      <c r="I53" s="20"/>
      <c r="J53" s="101"/>
      <c r="K53" s="101"/>
      <c r="L53" s="101"/>
    </row>
    <row r="54" spans="1:12" s="19" customFormat="1" ht="13.5" customHeight="1">
      <c r="A54" s="24">
        <f t="shared" si="0"/>
        <v>51</v>
      </c>
      <c r="B54" s="162">
        <v>37348</v>
      </c>
      <c r="C54" s="240" t="s">
        <v>286</v>
      </c>
      <c r="D54" s="85" t="s">
        <v>287</v>
      </c>
      <c r="E54" s="33" t="s">
        <v>419</v>
      </c>
      <c r="F54" s="121">
        <v>67000</v>
      </c>
      <c r="G54" s="45"/>
      <c r="H54" s="34">
        <v>0.5</v>
      </c>
      <c r="I54" s="20"/>
      <c r="J54" s="101"/>
      <c r="K54" s="101"/>
      <c r="L54" s="101"/>
    </row>
    <row r="55" spans="1:12" s="19" customFormat="1" ht="12.75">
      <c r="A55" s="24">
        <f t="shared" si="0"/>
        <v>52</v>
      </c>
      <c r="B55" s="162">
        <v>37349</v>
      </c>
      <c r="C55" s="146" t="s">
        <v>320</v>
      </c>
      <c r="D55" s="20" t="s">
        <v>159</v>
      </c>
      <c r="E55" s="40" t="s">
        <v>10</v>
      </c>
      <c r="F55" s="61">
        <v>120000</v>
      </c>
      <c r="G55" s="56"/>
      <c r="H55" s="40">
        <v>0.1</v>
      </c>
      <c r="I55" s="20"/>
      <c r="J55" s="101"/>
      <c r="K55" s="101"/>
      <c r="L55" s="101"/>
    </row>
    <row r="56" spans="1:12" s="19" customFormat="1" ht="12.75">
      <c r="A56" s="24">
        <f t="shared" si="0"/>
        <v>53</v>
      </c>
      <c r="B56" s="162">
        <v>37357</v>
      </c>
      <c r="C56" s="17" t="s">
        <v>71</v>
      </c>
      <c r="D56" s="20" t="s">
        <v>6</v>
      </c>
      <c r="E56" s="40" t="s">
        <v>8</v>
      </c>
      <c r="F56" s="100">
        <v>35000</v>
      </c>
      <c r="G56" s="99"/>
      <c r="H56" s="40">
        <v>0.1</v>
      </c>
      <c r="I56" s="20"/>
      <c r="J56" s="101"/>
      <c r="K56" s="101"/>
      <c r="L56" s="101"/>
    </row>
    <row r="57" spans="1:12" s="19" customFormat="1" ht="12.75">
      <c r="A57" s="24">
        <f t="shared" si="0"/>
        <v>54</v>
      </c>
      <c r="B57" s="162">
        <v>37357</v>
      </c>
      <c r="C57" s="17" t="s">
        <v>46</v>
      </c>
      <c r="D57" s="20" t="s">
        <v>145</v>
      </c>
      <c r="E57" s="40" t="s">
        <v>10</v>
      </c>
      <c r="F57" s="100">
        <v>340000</v>
      </c>
      <c r="G57" s="99"/>
      <c r="H57" s="40">
        <v>0.1</v>
      </c>
      <c r="I57" s="20"/>
      <c r="J57" s="101"/>
      <c r="K57" s="101"/>
      <c r="L57" s="101"/>
    </row>
    <row r="58" spans="1:12" s="19" customFormat="1" ht="12.75">
      <c r="A58" s="24">
        <f t="shared" si="0"/>
        <v>55</v>
      </c>
      <c r="B58" s="162">
        <v>37358</v>
      </c>
      <c r="C58" s="181" t="s">
        <v>302</v>
      </c>
      <c r="D58" s="20" t="s">
        <v>260</v>
      </c>
      <c r="E58" s="33" t="s">
        <v>8</v>
      </c>
      <c r="F58" s="28">
        <f>3450*12</f>
        <v>41400</v>
      </c>
      <c r="G58" s="56"/>
      <c r="H58" s="40">
        <v>0.5</v>
      </c>
      <c r="I58" s="20"/>
      <c r="J58" s="101"/>
      <c r="K58" s="101"/>
      <c r="L58" s="101"/>
    </row>
    <row r="59" spans="1:12" s="19" customFormat="1" ht="25.5">
      <c r="A59" s="24">
        <f t="shared" si="0"/>
        <v>56</v>
      </c>
      <c r="B59" s="162">
        <v>37360</v>
      </c>
      <c r="C59" s="181" t="s">
        <v>306</v>
      </c>
      <c r="D59" s="20" t="s">
        <v>95</v>
      </c>
      <c r="E59" s="40" t="s">
        <v>22</v>
      </c>
      <c r="F59" s="28">
        <v>12500</v>
      </c>
      <c r="G59" s="56"/>
      <c r="H59" s="40">
        <v>0.1</v>
      </c>
      <c r="I59" s="20"/>
      <c r="J59" s="101"/>
      <c r="K59" s="101"/>
      <c r="L59" s="101"/>
    </row>
    <row r="60" spans="1:12" s="19" customFormat="1" ht="25.5">
      <c r="A60" s="24">
        <f t="shared" si="0"/>
        <v>57</v>
      </c>
      <c r="B60" s="162">
        <v>37360</v>
      </c>
      <c r="C60" s="181" t="s">
        <v>350</v>
      </c>
      <c r="D60" s="20" t="s">
        <v>89</v>
      </c>
      <c r="E60" s="40" t="s">
        <v>22</v>
      </c>
      <c r="F60" s="28">
        <v>43000</v>
      </c>
      <c r="G60" s="56"/>
      <c r="H60" s="40">
        <v>0.5</v>
      </c>
      <c r="I60" s="20"/>
      <c r="J60" s="101"/>
      <c r="K60" s="101"/>
      <c r="L60" s="101"/>
    </row>
    <row r="61" spans="1:12" s="19" customFormat="1" ht="12.75">
      <c r="A61" s="24">
        <f t="shared" si="0"/>
        <v>58</v>
      </c>
      <c r="B61" s="162">
        <v>37365</v>
      </c>
      <c r="C61" s="20" t="s">
        <v>313</v>
      </c>
      <c r="D61" s="20" t="s">
        <v>160</v>
      </c>
      <c r="E61" s="40" t="s">
        <v>418</v>
      </c>
      <c r="F61" s="100">
        <v>50000</v>
      </c>
      <c r="G61" s="99"/>
      <c r="H61" s="40">
        <v>0.1</v>
      </c>
      <c r="I61" s="20"/>
      <c r="J61" s="101">
        <v>37365</v>
      </c>
      <c r="K61" s="101"/>
      <c r="L61" s="101"/>
    </row>
    <row r="62" spans="1:12" s="19" customFormat="1" ht="12.75">
      <c r="A62" s="24">
        <f t="shared" si="0"/>
        <v>59</v>
      </c>
      <c r="B62" s="162">
        <v>37365</v>
      </c>
      <c r="C62" s="17" t="s">
        <v>312</v>
      </c>
      <c r="D62" s="20" t="s">
        <v>160</v>
      </c>
      <c r="E62" s="40" t="s">
        <v>418</v>
      </c>
      <c r="F62" s="100">
        <v>50000</v>
      </c>
      <c r="G62" s="99"/>
      <c r="H62" s="40">
        <v>0.1</v>
      </c>
      <c r="I62" s="20"/>
      <c r="J62" s="101">
        <v>37365</v>
      </c>
      <c r="K62" s="101"/>
      <c r="L62" s="101"/>
    </row>
    <row r="63" spans="1:12" s="19" customFormat="1" ht="12.75">
      <c r="A63" s="24">
        <f t="shared" si="0"/>
        <v>60</v>
      </c>
      <c r="B63" s="162">
        <v>37365</v>
      </c>
      <c r="C63" s="17" t="s">
        <v>312</v>
      </c>
      <c r="D63" s="20" t="s">
        <v>160</v>
      </c>
      <c r="E63" s="40" t="s">
        <v>418</v>
      </c>
      <c r="F63" s="100">
        <v>50000</v>
      </c>
      <c r="G63" s="99"/>
      <c r="H63" s="40">
        <v>0.1</v>
      </c>
      <c r="I63" s="20"/>
      <c r="J63" s="101">
        <v>37365</v>
      </c>
      <c r="K63" s="101"/>
      <c r="L63" s="101"/>
    </row>
    <row r="64" spans="1:12" s="19" customFormat="1" ht="12.75">
      <c r="A64" s="24">
        <f t="shared" si="0"/>
        <v>61</v>
      </c>
      <c r="B64" s="162">
        <v>37365</v>
      </c>
      <c r="C64" s="17" t="s">
        <v>307</v>
      </c>
      <c r="D64" s="20" t="s">
        <v>160</v>
      </c>
      <c r="E64" s="40" t="s">
        <v>418</v>
      </c>
      <c r="F64" s="100">
        <v>50000</v>
      </c>
      <c r="G64" s="99"/>
      <c r="H64" s="40">
        <v>0.1</v>
      </c>
      <c r="I64" s="20"/>
      <c r="J64" s="101">
        <v>37365</v>
      </c>
      <c r="K64" s="101"/>
      <c r="L64" s="101"/>
    </row>
    <row r="65" spans="1:12" s="19" customFormat="1" ht="12.75">
      <c r="A65" s="24">
        <f t="shared" si="0"/>
        <v>62</v>
      </c>
      <c r="B65" s="162">
        <v>37365</v>
      </c>
      <c r="C65" s="146" t="s">
        <v>162</v>
      </c>
      <c r="D65" s="20" t="s">
        <v>160</v>
      </c>
      <c r="E65" s="40" t="s">
        <v>10</v>
      </c>
      <c r="F65" s="100">
        <v>50000</v>
      </c>
      <c r="G65" s="99"/>
      <c r="H65" s="40">
        <v>0</v>
      </c>
      <c r="I65" s="20"/>
      <c r="J65" s="101">
        <v>37365</v>
      </c>
      <c r="K65" s="101">
        <v>37398</v>
      </c>
      <c r="L65" s="101">
        <v>37412</v>
      </c>
    </row>
    <row r="66" spans="1:12" s="19" customFormat="1" ht="12.75">
      <c r="A66" s="24">
        <f t="shared" si="0"/>
        <v>63</v>
      </c>
      <c r="B66" s="162">
        <v>37365</v>
      </c>
      <c r="C66" s="17" t="s">
        <v>11</v>
      </c>
      <c r="D66" s="20" t="s">
        <v>163</v>
      </c>
      <c r="E66" s="40" t="s">
        <v>418</v>
      </c>
      <c r="F66" s="100">
        <v>75000</v>
      </c>
      <c r="G66" s="99"/>
      <c r="H66" s="40">
        <v>0.1</v>
      </c>
      <c r="I66" s="20"/>
      <c r="J66" s="101">
        <v>37365</v>
      </c>
      <c r="K66" s="101"/>
      <c r="L66" s="101"/>
    </row>
    <row r="67" spans="1:12" s="19" customFormat="1" ht="12.75">
      <c r="A67" s="24">
        <f t="shared" si="0"/>
        <v>64</v>
      </c>
      <c r="B67" s="162">
        <v>37365</v>
      </c>
      <c r="C67" s="146" t="s">
        <v>218</v>
      </c>
      <c r="D67" s="20" t="s">
        <v>160</v>
      </c>
      <c r="E67" s="40" t="s">
        <v>418</v>
      </c>
      <c r="F67" s="100">
        <v>50000</v>
      </c>
      <c r="G67" s="99"/>
      <c r="H67" s="40">
        <v>0</v>
      </c>
      <c r="I67" s="20"/>
      <c r="J67" s="101">
        <v>37365</v>
      </c>
      <c r="K67" s="101"/>
      <c r="L67" s="101"/>
    </row>
    <row r="68" spans="1:12" s="19" customFormat="1" ht="12.75">
      <c r="A68" s="24">
        <f aca="true" t="shared" si="1" ref="A68:A110">A67+1</f>
        <v>65</v>
      </c>
      <c r="B68" s="162">
        <v>37369</v>
      </c>
      <c r="C68" s="129" t="s">
        <v>326</v>
      </c>
      <c r="D68" s="20" t="s">
        <v>219</v>
      </c>
      <c r="E68" s="33" t="s">
        <v>405</v>
      </c>
      <c r="F68" s="61">
        <v>75000</v>
      </c>
      <c r="G68" s="56"/>
      <c r="H68" s="40">
        <v>0.1</v>
      </c>
      <c r="I68" s="20"/>
      <c r="J68" s="101"/>
      <c r="K68" s="101"/>
      <c r="L68" s="101"/>
    </row>
    <row r="69" spans="1:12" s="19" customFormat="1" ht="12.75">
      <c r="A69" s="24">
        <f t="shared" si="1"/>
        <v>66</v>
      </c>
      <c r="B69" s="162">
        <v>37373</v>
      </c>
      <c r="C69" s="360" t="s">
        <v>150</v>
      </c>
      <c r="D69" s="85" t="s">
        <v>105</v>
      </c>
      <c r="E69" s="33" t="s">
        <v>405</v>
      </c>
      <c r="F69" s="28">
        <v>75000</v>
      </c>
      <c r="G69" s="56"/>
      <c r="H69" s="34">
        <v>0.1</v>
      </c>
      <c r="I69" s="20"/>
      <c r="J69" s="101"/>
      <c r="K69" s="101"/>
      <c r="L69" s="101"/>
    </row>
    <row r="70" spans="1:12" s="19" customFormat="1" ht="25.5">
      <c r="A70" s="24">
        <f t="shared" si="1"/>
        <v>67</v>
      </c>
      <c r="B70" s="162">
        <v>37394</v>
      </c>
      <c r="C70" s="164" t="s">
        <v>324</v>
      </c>
      <c r="D70" s="85" t="s">
        <v>272</v>
      </c>
      <c r="E70" s="33" t="s">
        <v>405</v>
      </c>
      <c r="F70" s="28">
        <v>83000</v>
      </c>
      <c r="G70" s="57"/>
      <c r="H70" s="33">
        <v>0</v>
      </c>
      <c r="I70" s="20"/>
      <c r="J70" s="101"/>
      <c r="K70" s="101"/>
      <c r="L70" s="101">
        <v>37396</v>
      </c>
    </row>
    <row r="71" spans="1:12" s="19" customFormat="1" ht="25.5">
      <c r="A71" s="24">
        <f t="shared" si="1"/>
        <v>68</v>
      </c>
      <c r="B71" s="162">
        <v>37400</v>
      </c>
      <c r="C71" s="164" t="s">
        <v>318</v>
      </c>
      <c r="D71" s="85" t="s">
        <v>205</v>
      </c>
      <c r="E71" s="33" t="s">
        <v>10</v>
      </c>
      <c r="F71" s="28">
        <v>25000</v>
      </c>
      <c r="G71" s="57"/>
      <c r="H71" s="34">
        <v>0.1</v>
      </c>
      <c r="I71" s="20"/>
      <c r="J71" s="101"/>
      <c r="K71" s="101"/>
      <c r="L71" s="101">
        <v>37404</v>
      </c>
    </row>
    <row r="72" spans="1:12" s="19" customFormat="1" ht="12.75">
      <c r="A72" s="24">
        <f t="shared" si="1"/>
        <v>69</v>
      </c>
      <c r="B72" s="162">
        <v>37406</v>
      </c>
      <c r="C72" s="180" t="s">
        <v>285</v>
      </c>
      <c r="D72" s="20" t="s">
        <v>89</v>
      </c>
      <c r="E72" s="40" t="s">
        <v>8</v>
      </c>
      <c r="F72" s="61">
        <v>20000</v>
      </c>
      <c r="G72" s="56"/>
      <c r="H72" s="34">
        <v>0.5</v>
      </c>
      <c r="I72" s="20"/>
      <c r="J72" s="101"/>
      <c r="K72" s="101"/>
      <c r="L72" s="101"/>
    </row>
    <row r="73" spans="1:12" s="19" customFormat="1" ht="12.75">
      <c r="A73" s="24">
        <f t="shared" si="1"/>
        <v>70</v>
      </c>
      <c r="B73" s="194">
        <v>37413</v>
      </c>
      <c r="C73" s="180" t="s">
        <v>357</v>
      </c>
      <c r="D73" s="20" t="s">
        <v>296</v>
      </c>
      <c r="E73" s="40" t="s">
        <v>10</v>
      </c>
      <c r="F73" s="163">
        <v>25000</v>
      </c>
      <c r="G73" s="56"/>
      <c r="H73" s="34">
        <v>0.1</v>
      </c>
      <c r="I73" s="20"/>
      <c r="J73" s="101"/>
      <c r="K73" s="101"/>
      <c r="L73" s="101">
        <v>37413</v>
      </c>
    </row>
    <row r="74" spans="1:12" s="19" customFormat="1" ht="12.75">
      <c r="A74" s="24">
        <f t="shared" si="1"/>
        <v>71</v>
      </c>
      <c r="B74" s="194">
        <v>37413</v>
      </c>
      <c r="C74" s="180" t="s">
        <v>357</v>
      </c>
      <c r="D74" s="20" t="s">
        <v>57</v>
      </c>
      <c r="E74" s="40" t="s">
        <v>10</v>
      </c>
      <c r="F74" s="163">
        <v>100000</v>
      </c>
      <c r="G74" s="56"/>
      <c r="H74" s="34">
        <v>0.1</v>
      </c>
      <c r="I74" s="20"/>
      <c r="J74" s="101"/>
      <c r="K74" s="101"/>
      <c r="L74" s="101">
        <v>37413</v>
      </c>
    </row>
    <row r="75" spans="1:12" s="19" customFormat="1" ht="12.75">
      <c r="A75" s="24">
        <f t="shared" si="1"/>
        <v>72</v>
      </c>
      <c r="B75" s="194">
        <v>37414</v>
      </c>
      <c r="C75" s="242" t="s">
        <v>353</v>
      </c>
      <c r="D75" s="186" t="s">
        <v>81</v>
      </c>
      <c r="E75" s="156" t="s">
        <v>21</v>
      </c>
      <c r="F75" s="157">
        <v>15000</v>
      </c>
      <c r="G75" s="56"/>
      <c r="H75" s="34">
        <v>0.5</v>
      </c>
      <c r="I75" s="20"/>
      <c r="J75" s="101"/>
      <c r="K75" s="101"/>
      <c r="L75" s="101">
        <v>37413</v>
      </c>
    </row>
    <row r="76" spans="1:12" s="19" customFormat="1" ht="12.75">
      <c r="A76" s="24">
        <f t="shared" si="1"/>
        <v>73</v>
      </c>
      <c r="B76" s="194">
        <v>37420</v>
      </c>
      <c r="C76" s="242" t="s">
        <v>355</v>
      </c>
      <c r="D76" s="186" t="s">
        <v>262</v>
      </c>
      <c r="E76" s="156" t="s">
        <v>8</v>
      </c>
      <c r="F76" s="157">
        <v>135000</v>
      </c>
      <c r="G76" s="56"/>
      <c r="H76" s="34">
        <v>0.1</v>
      </c>
      <c r="I76" s="20"/>
      <c r="J76" s="101"/>
      <c r="K76" s="101"/>
      <c r="L76" s="101">
        <v>37424</v>
      </c>
    </row>
    <row r="77" spans="1:12" s="19" customFormat="1" ht="12.75">
      <c r="A77" s="24">
        <f t="shared" si="1"/>
        <v>74</v>
      </c>
      <c r="B77" s="194">
        <v>37420</v>
      </c>
      <c r="C77" s="146" t="s">
        <v>320</v>
      </c>
      <c r="D77" s="226" t="s">
        <v>262</v>
      </c>
      <c r="E77" s="227" t="s">
        <v>21</v>
      </c>
      <c r="F77" s="228">
        <v>55000</v>
      </c>
      <c r="G77" s="56"/>
      <c r="H77" s="34">
        <v>0.1</v>
      </c>
      <c r="I77" s="20"/>
      <c r="J77" s="101">
        <v>37420</v>
      </c>
      <c r="K77" s="101"/>
      <c r="L77" s="101"/>
    </row>
    <row r="78" spans="1:12" s="19" customFormat="1" ht="12.75">
      <c r="A78" s="24">
        <f t="shared" si="1"/>
        <v>75</v>
      </c>
      <c r="B78" s="194">
        <v>37427</v>
      </c>
      <c r="C78" s="154" t="s">
        <v>326</v>
      </c>
      <c r="D78" s="155" t="s">
        <v>377</v>
      </c>
      <c r="E78" s="156" t="s">
        <v>197</v>
      </c>
      <c r="F78" s="157">
        <v>32500</v>
      </c>
      <c r="G78" s="56"/>
      <c r="H78" s="34">
        <v>0.1</v>
      </c>
      <c r="I78" s="20"/>
      <c r="J78" s="101"/>
      <c r="K78" s="101"/>
      <c r="L78" s="101">
        <v>37427</v>
      </c>
    </row>
    <row r="79" spans="1:12" s="19" customFormat="1" ht="12.75">
      <c r="A79" s="24">
        <f t="shared" si="1"/>
        <v>76</v>
      </c>
      <c r="B79" s="194">
        <v>37427</v>
      </c>
      <c r="C79" s="154" t="s">
        <v>172</v>
      </c>
      <c r="D79" s="186" t="s">
        <v>374</v>
      </c>
      <c r="E79" s="156" t="s">
        <v>10</v>
      </c>
      <c r="F79" s="157">
        <v>150000</v>
      </c>
      <c r="G79" s="56"/>
      <c r="H79" s="34">
        <v>0.1</v>
      </c>
      <c r="I79" s="20"/>
      <c r="J79" s="101"/>
      <c r="K79" s="101">
        <v>37428</v>
      </c>
      <c r="L79" s="101"/>
    </row>
    <row r="80" spans="1:12" s="19" customFormat="1" ht="12.75">
      <c r="A80" s="24">
        <f t="shared" si="1"/>
        <v>77</v>
      </c>
      <c r="B80" s="194">
        <v>37434</v>
      </c>
      <c r="C80" s="226" t="s">
        <v>345</v>
      </c>
      <c r="D80" s="186" t="s">
        <v>56</v>
      </c>
      <c r="E80" s="156" t="s">
        <v>197</v>
      </c>
      <c r="F80" s="157">
        <v>85000</v>
      </c>
      <c r="G80" s="56"/>
      <c r="H80" s="34">
        <v>0.1</v>
      </c>
      <c r="I80" s="246"/>
      <c r="J80" s="101">
        <v>37434</v>
      </c>
      <c r="K80" s="101"/>
      <c r="L80" s="101"/>
    </row>
    <row r="81" spans="1:12" s="19" customFormat="1" ht="12.75">
      <c r="A81" s="24">
        <f t="shared" si="1"/>
        <v>78</v>
      </c>
      <c r="B81" s="194">
        <v>37441</v>
      </c>
      <c r="C81" s="154" t="s">
        <v>164</v>
      </c>
      <c r="D81" s="186" t="s">
        <v>160</v>
      </c>
      <c r="E81" s="156" t="s">
        <v>194</v>
      </c>
      <c r="F81" s="157">
        <v>50000</v>
      </c>
      <c r="G81" s="56"/>
      <c r="H81" s="34">
        <v>0.1</v>
      </c>
      <c r="I81" s="20"/>
      <c r="J81" s="101"/>
      <c r="K81" s="101"/>
      <c r="L81" s="101">
        <v>37441</v>
      </c>
    </row>
    <row r="82" spans="1:12" s="19" customFormat="1" ht="12.75">
      <c r="A82" s="24">
        <f t="shared" si="1"/>
        <v>79</v>
      </c>
      <c r="B82" s="194">
        <v>37441</v>
      </c>
      <c r="C82" s="154" t="s">
        <v>165</v>
      </c>
      <c r="D82" s="186" t="s">
        <v>335</v>
      </c>
      <c r="E82" s="156" t="s">
        <v>405</v>
      </c>
      <c r="F82" s="157">
        <v>35000</v>
      </c>
      <c r="G82" s="56"/>
      <c r="H82" s="34">
        <v>0.1</v>
      </c>
      <c r="I82" s="20"/>
      <c r="J82" s="101"/>
      <c r="K82" s="101"/>
      <c r="L82" s="101">
        <v>37441</v>
      </c>
    </row>
    <row r="83" spans="1:12" s="19" customFormat="1" ht="12.75">
      <c r="A83" s="24">
        <f t="shared" si="1"/>
        <v>80</v>
      </c>
      <c r="B83" s="194">
        <v>37448</v>
      </c>
      <c r="C83" s="154" t="s">
        <v>166</v>
      </c>
      <c r="D83" s="186" t="s">
        <v>335</v>
      </c>
      <c r="E83" s="156" t="s">
        <v>405</v>
      </c>
      <c r="F83" s="157">
        <v>45000</v>
      </c>
      <c r="G83" s="56"/>
      <c r="H83" s="34">
        <v>0.1</v>
      </c>
      <c r="I83" s="20"/>
      <c r="J83" s="101">
        <v>37448</v>
      </c>
      <c r="K83" s="101"/>
      <c r="L83" s="101"/>
    </row>
    <row r="84" spans="1:12" s="19" customFormat="1" ht="12.75">
      <c r="A84" s="24">
        <f t="shared" si="1"/>
        <v>81</v>
      </c>
      <c r="B84" s="194">
        <v>37448</v>
      </c>
      <c r="C84" s="154" t="s">
        <v>352</v>
      </c>
      <c r="D84" s="186" t="s">
        <v>89</v>
      </c>
      <c r="E84" s="156" t="s">
        <v>405</v>
      </c>
      <c r="F84" s="157">
        <v>25000</v>
      </c>
      <c r="G84" s="56"/>
      <c r="H84" s="34">
        <v>0.1</v>
      </c>
      <c r="I84" s="20"/>
      <c r="J84" s="101">
        <v>37448</v>
      </c>
      <c r="K84" s="101"/>
      <c r="L84" s="101"/>
    </row>
    <row r="85" spans="1:12" s="19" customFormat="1" ht="12.75">
      <c r="A85" s="24">
        <f t="shared" si="1"/>
        <v>82</v>
      </c>
      <c r="B85" s="194">
        <v>37449</v>
      </c>
      <c r="C85" s="154" t="s">
        <v>288</v>
      </c>
      <c r="D85" s="186" t="s">
        <v>89</v>
      </c>
      <c r="E85" s="156" t="s">
        <v>405</v>
      </c>
      <c r="F85" s="157">
        <v>75000</v>
      </c>
      <c r="G85" s="56"/>
      <c r="H85" s="34">
        <v>0.1</v>
      </c>
      <c r="I85" s="20"/>
      <c r="J85" s="101"/>
      <c r="K85" s="101"/>
      <c r="L85" s="101">
        <v>37447</v>
      </c>
    </row>
    <row r="86" spans="1:12" s="19" customFormat="1" ht="12.75">
      <c r="A86" s="24">
        <f t="shared" si="1"/>
        <v>83</v>
      </c>
      <c r="B86" s="194">
        <v>37449</v>
      </c>
      <c r="C86" s="154" t="s">
        <v>353</v>
      </c>
      <c r="D86" s="186" t="s">
        <v>260</v>
      </c>
      <c r="E86" s="156" t="s">
        <v>194</v>
      </c>
      <c r="F86" s="157">
        <f>2500000/32</f>
        <v>78125</v>
      </c>
      <c r="G86" s="56"/>
      <c r="H86" s="34">
        <v>0.1</v>
      </c>
      <c r="I86" s="20"/>
      <c r="J86" s="101"/>
      <c r="K86" s="101"/>
      <c r="L86" s="101">
        <v>37449</v>
      </c>
    </row>
    <row r="87" spans="1:12" s="19" customFormat="1" ht="12.75">
      <c r="A87" s="24">
        <f t="shared" si="1"/>
        <v>84</v>
      </c>
      <c r="B87" s="194">
        <v>37453</v>
      </c>
      <c r="C87" s="236" t="s">
        <v>154</v>
      </c>
      <c r="D87" s="186" t="s">
        <v>397</v>
      </c>
      <c r="E87" s="156" t="s">
        <v>1</v>
      </c>
      <c r="F87" s="157">
        <v>2000</v>
      </c>
      <c r="G87" s="56"/>
      <c r="H87" s="34">
        <v>0.5</v>
      </c>
      <c r="I87" s="20"/>
      <c r="J87" s="101">
        <v>37453</v>
      </c>
      <c r="K87" s="101"/>
      <c r="L87" s="101"/>
    </row>
    <row r="88" spans="1:12" s="19" customFormat="1" ht="12.75">
      <c r="A88" s="24">
        <f t="shared" si="1"/>
        <v>85</v>
      </c>
      <c r="B88" s="194">
        <v>37456</v>
      </c>
      <c r="C88" s="154" t="s">
        <v>227</v>
      </c>
      <c r="D88" s="186" t="s">
        <v>262</v>
      </c>
      <c r="E88" s="156" t="s">
        <v>226</v>
      </c>
      <c r="F88" s="157">
        <v>3000</v>
      </c>
      <c r="G88" s="56"/>
      <c r="H88" s="34">
        <v>0.1</v>
      </c>
      <c r="I88" s="20"/>
      <c r="J88" s="101"/>
      <c r="K88" s="101">
        <v>37456</v>
      </c>
      <c r="L88" s="101"/>
    </row>
    <row r="89" spans="1:12" s="19" customFormat="1" ht="12.75">
      <c r="A89" s="24">
        <f t="shared" si="1"/>
        <v>86</v>
      </c>
      <c r="B89" s="194">
        <v>37456</v>
      </c>
      <c r="C89" s="154" t="s">
        <v>228</v>
      </c>
      <c r="D89" s="186" t="s">
        <v>262</v>
      </c>
      <c r="E89" s="156" t="s">
        <v>226</v>
      </c>
      <c r="F89" s="157">
        <v>65000</v>
      </c>
      <c r="G89" s="56"/>
      <c r="H89" s="34">
        <v>0.1</v>
      </c>
      <c r="I89" s="20"/>
      <c r="J89" s="101"/>
      <c r="K89" s="101">
        <v>37456</v>
      </c>
      <c r="L89" s="101"/>
    </row>
    <row r="90" spans="1:12" s="19" customFormat="1" ht="12.75">
      <c r="A90" s="24">
        <f t="shared" si="1"/>
        <v>87</v>
      </c>
      <c r="B90" s="194">
        <v>37456</v>
      </c>
      <c r="C90" s="154" t="s">
        <v>348</v>
      </c>
      <c r="D90" s="186" t="s">
        <v>396</v>
      </c>
      <c r="E90" s="156" t="s">
        <v>194</v>
      </c>
      <c r="F90" s="157">
        <v>8000</v>
      </c>
      <c r="G90" s="56"/>
      <c r="H90" s="34">
        <v>0.1</v>
      </c>
      <c r="I90" s="20"/>
      <c r="J90" s="101"/>
      <c r="K90" s="101">
        <v>37456</v>
      </c>
      <c r="L90" s="101"/>
    </row>
    <row r="91" spans="1:12" s="19" customFormat="1" ht="12.75">
      <c r="A91" s="24">
        <f t="shared" si="1"/>
        <v>88</v>
      </c>
      <c r="B91" s="194">
        <v>37468</v>
      </c>
      <c r="C91" s="236" t="s">
        <v>309</v>
      </c>
      <c r="D91" s="186" t="s">
        <v>85</v>
      </c>
      <c r="E91" s="156" t="s">
        <v>405</v>
      </c>
      <c r="F91" s="157">
        <v>235000</v>
      </c>
      <c r="G91" s="56"/>
      <c r="H91" s="34">
        <v>0.1</v>
      </c>
      <c r="I91" s="20"/>
      <c r="J91" s="101"/>
      <c r="K91" s="101"/>
      <c r="L91" s="101">
        <v>37468</v>
      </c>
    </row>
    <row r="92" spans="1:12" s="19" customFormat="1" ht="12.75">
      <c r="A92" s="24">
        <f t="shared" si="1"/>
        <v>89</v>
      </c>
      <c r="B92" s="194">
        <v>37468</v>
      </c>
      <c r="C92" s="248" t="s">
        <v>171</v>
      </c>
      <c r="D92" s="186" t="s">
        <v>159</v>
      </c>
      <c r="E92" s="156" t="s">
        <v>405</v>
      </c>
      <c r="F92" s="157">
        <v>65000</v>
      </c>
      <c r="G92" s="56"/>
      <c r="H92" s="34">
        <v>0.1</v>
      </c>
      <c r="I92" s="20"/>
      <c r="J92" s="101"/>
      <c r="K92" s="101"/>
      <c r="L92" s="101"/>
    </row>
    <row r="93" spans="1:12" s="19" customFormat="1" ht="25.5">
      <c r="A93" s="24">
        <f t="shared" si="1"/>
        <v>90</v>
      </c>
      <c r="B93" s="194">
        <v>37428</v>
      </c>
      <c r="C93" s="244" t="s">
        <v>341</v>
      </c>
      <c r="D93" s="186" t="s">
        <v>139</v>
      </c>
      <c r="E93" s="156" t="s">
        <v>197</v>
      </c>
      <c r="F93" s="157">
        <v>28000</v>
      </c>
      <c r="G93" s="56"/>
      <c r="H93" s="34">
        <v>0.5</v>
      </c>
      <c r="I93" s="20"/>
      <c r="J93" s="101"/>
      <c r="K93" s="101"/>
      <c r="L93" s="101">
        <v>37473</v>
      </c>
    </row>
    <row r="94" spans="1:12" s="19" customFormat="1" ht="12.75">
      <c r="A94" s="24">
        <f t="shared" si="1"/>
        <v>91</v>
      </c>
      <c r="B94" s="194">
        <v>37474</v>
      </c>
      <c r="C94" s="236" t="s">
        <v>154</v>
      </c>
      <c r="D94" s="186" t="s">
        <v>220</v>
      </c>
      <c r="E94" s="156" t="s">
        <v>1</v>
      </c>
      <c r="F94" s="231">
        <v>14000</v>
      </c>
      <c r="G94" s="56"/>
      <c r="H94" s="34">
        <v>0.5</v>
      </c>
      <c r="I94" s="20"/>
      <c r="J94" s="101">
        <v>37473</v>
      </c>
      <c r="K94" s="101"/>
      <c r="L94" s="101"/>
    </row>
    <row r="95" spans="1:12" s="19" customFormat="1" ht="12.75">
      <c r="A95" s="24">
        <f t="shared" si="1"/>
        <v>92</v>
      </c>
      <c r="B95" s="194">
        <v>37474</v>
      </c>
      <c r="C95" s="248" t="s">
        <v>155</v>
      </c>
      <c r="D95" s="186" t="s">
        <v>55</v>
      </c>
      <c r="E95" s="156" t="s">
        <v>194</v>
      </c>
      <c r="F95" s="157">
        <v>20000</v>
      </c>
      <c r="G95" s="56"/>
      <c r="H95" s="34">
        <v>0.1</v>
      </c>
      <c r="I95" s="20"/>
      <c r="J95" s="101">
        <v>37474</v>
      </c>
      <c r="K95" s="101"/>
      <c r="L95" s="101"/>
    </row>
    <row r="96" spans="1:12" s="19" customFormat="1" ht="25.5">
      <c r="A96" s="24">
        <f t="shared" si="1"/>
        <v>93</v>
      </c>
      <c r="B96" s="194">
        <v>37481</v>
      </c>
      <c r="C96" s="236" t="s">
        <v>341</v>
      </c>
      <c r="D96" s="186" t="s">
        <v>26</v>
      </c>
      <c r="E96" s="156" t="s">
        <v>405</v>
      </c>
      <c r="F96" s="157">
        <f>125000/6*5</f>
        <v>104166.66666666666</v>
      </c>
      <c r="G96" s="56"/>
      <c r="H96" s="34">
        <v>0.1</v>
      </c>
      <c r="I96" s="20"/>
      <c r="J96" s="101"/>
      <c r="K96" s="101"/>
      <c r="L96" s="101">
        <v>37481</v>
      </c>
    </row>
    <row r="97" spans="1:12" s="19" customFormat="1" ht="25.5">
      <c r="A97" s="24">
        <f t="shared" si="1"/>
        <v>94</v>
      </c>
      <c r="B97" s="194">
        <v>37503</v>
      </c>
      <c r="C97" s="236" t="s">
        <v>350</v>
      </c>
      <c r="D97" s="186" t="s">
        <v>156</v>
      </c>
      <c r="E97" s="156" t="s">
        <v>405</v>
      </c>
      <c r="F97" s="157">
        <v>150000</v>
      </c>
      <c r="G97" s="56"/>
      <c r="H97" s="34">
        <v>0.1</v>
      </c>
      <c r="I97" s="20"/>
      <c r="J97" s="101"/>
      <c r="K97" s="101"/>
      <c r="L97" s="101"/>
    </row>
    <row r="98" spans="1:12" s="19" customFormat="1" ht="12.75">
      <c r="A98" s="24">
        <f t="shared" si="1"/>
        <v>95</v>
      </c>
      <c r="B98" s="194">
        <v>37504</v>
      </c>
      <c r="C98" s="236" t="s">
        <v>153</v>
      </c>
      <c r="D98" s="186" t="s">
        <v>261</v>
      </c>
      <c r="E98" s="156" t="s">
        <v>22</v>
      </c>
      <c r="F98" s="157">
        <v>25000</v>
      </c>
      <c r="G98" s="56"/>
      <c r="H98" s="34">
        <v>0.1</v>
      </c>
      <c r="I98" s="20"/>
      <c r="J98" s="101">
        <v>37504</v>
      </c>
      <c r="K98" s="101"/>
      <c r="L98" s="101"/>
    </row>
    <row r="99" spans="1:12" s="19" customFormat="1" ht="12.75">
      <c r="A99" s="24">
        <f t="shared" si="1"/>
        <v>96</v>
      </c>
      <c r="B99" s="194">
        <v>37504</v>
      </c>
      <c r="C99" s="249" t="s">
        <v>308</v>
      </c>
      <c r="D99" s="186" t="s">
        <v>27</v>
      </c>
      <c r="E99" s="156" t="s">
        <v>405</v>
      </c>
      <c r="F99" s="157">
        <v>35000</v>
      </c>
      <c r="G99" s="56"/>
      <c r="H99" s="34">
        <v>0.1</v>
      </c>
      <c r="I99" s="20"/>
      <c r="J99" s="101">
        <v>37504</v>
      </c>
      <c r="K99" s="101"/>
      <c r="L99" s="101"/>
    </row>
    <row r="100" spans="1:12" s="19" customFormat="1" ht="12.75">
      <c r="A100" s="24">
        <f t="shared" si="1"/>
        <v>97</v>
      </c>
      <c r="B100" s="194">
        <v>37508</v>
      </c>
      <c r="C100" s="236" t="s">
        <v>171</v>
      </c>
      <c r="D100" s="186" t="s">
        <v>144</v>
      </c>
      <c r="E100" s="156" t="s">
        <v>405</v>
      </c>
      <c r="F100" s="157">
        <v>245000</v>
      </c>
      <c r="G100" s="56"/>
      <c r="H100" s="34">
        <v>0.1</v>
      </c>
      <c r="I100" s="20"/>
      <c r="J100" s="101"/>
      <c r="K100" s="101">
        <v>37508</v>
      </c>
      <c r="L100" s="101"/>
    </row>
    <row r="101" spans="1:12" s="19" customFormat="1" ht="12.75">
      <c r="A101" s="24">
        <f t="shared" si="1"/>
        <v>98</v>
      </c>
      <c r="B101" s="194">
        <v>37508</v>
      </c>
      <c r="C101" s="236" t="s">
        <v>167</v>
      </c>
      <c r="D101" s="186" t="s">
        <v>168</v>
      </c>
      <c r="E101" s="156" t="s">
        <v>87</v>
      </c>
      <c r="F101" s="157">
        <v>350000</v>
      </c>
      <c r="G101" s="56"/>
      <c r="H101" s="34">
        <v>0.1</v>
      </c>
      <c r="I101" s="20"/>
      <c r="J101" s="101"/>
      <c r="K101" s="101"/>
      <c r="L101" s="101">
        <v>37508</v>
      </c>
    </row>
    <row r="102" spans="1:12" s="145" customFormat="1" ht="12.75">
      <c r="A102" s="24">
        <f t="shared" si="1"/>
        <v>99</v>
      </c>
      <c r="B102" s="194">
        <v>37512</v>
      </c>
      <c r="C102" s="236" t="s">
        <v>327</v>
      </c>
      <c r="D102" s="229" t="s">
        <v>282</v>
      </c>
      <c r="E102" s="230" t="s">
        <v>8</v>
      </c>
      <c r="F102" s="231">
        <v>75000</v>
      </c>
      <c r="G102" s="232"/>
      <c r="H102" s="34">
        <v>0.1</v>
      </c>
      <c r="I102" s="115"/>
      <c r="J102" s="233"/>
      <c r="K102" s="233">
        <v>37512</v>
      </c>
      <c r="L102" s="233"/>
    </row>
    <row r="103" spans="1:12" s="145" customFormat="1" ht="12.75">
      <c r="A103" s="24">
        <f t="shared" si="1"/>
        <v>100</v>
      </c>
      <c r="B103" s="194">
        <v>37512</v>
      </c>
      <c r="C103" s="236" t="s">
        <v>357</v>
      </c>
      <c r="D103" s="229" t="s">
        <v>80</v>
      </c>
      <c r="E103" s="230" t="s">
        <v>10</v>
      </c>
      <c r="F103" s="231">
        <v>150000</v>
      </c>
      <c r="G103" s="232"/>
      <c r="H103" s="34">
        <v>0.1</v>
      </c>
      <c r="I103" s="115"/>
      <c r="J103" s="233"/>
      <c r="K103" s="233">
        <v>37512</v>
      </c>
      <c r="L103" s="233"/>
    </row>
    <row r="104" spans="1:12" s="145" customFormat="1" ht="12.75">
      <c r="A104" s="24">
        <f t="shared" si="1"/>
        <v>101</v>
      </c>
      <c r="B104" s="194">
        <v>37518</v>
      </c>
      <c r="C104" s="236" t="s">
        <v>307</v>
      </c>
      <c r="D104" s="229" t="s">
        <v>213</v>
      </c>
      <c r="E104" s="230" t="s">
        <v>194</v>
      </c>
      <c r="F104" s="231">
        <v>75000</v>
      </c>
      <c r="G104" s="232"/>
      <c r="H104" s="34">
        <v>0.1</v>
      </c>
      <c r="I104" s="115"/>
      <c r="J104" s="233"/>
      <c r="K104" s="233"/>
      <c r="L104" s="233">
        <v>37518</v>
      </c>
    </row>
    <row r="105" spans="1:12" s="145" customFormat="1" ht="25.5">
      <c r="A105" s="24">
        <f t="shared" si="1"/>
        <v>102</v>
      </c>
      <c r="B105" s="194">
        <v>37519</v>
      </c>
      <c r="C105" s="236" t="s">
        <v>345</v>
      </c>
      <c r="D105" s="229" t="s">
        <v>446</v>
      </c>
      <c r="E105" s="230" t="s">
        <v>405</v>
      </c>
      <c r="F105" s="231">
        <v>450000</v>
      </c>
      <c r="G105" s="232"/>
      <c r="H105" s="34">
        <v>0.1</v>
      </c>
      <c r="I105" s="115"/>
      <c r="J105" s="233"/>
      <c r="K105" s="233">
        <v>37519</v>
      </c>
      <c r="L105" s="233"/>
    </row>
    <row r="106" spans="1:12" s="145" customFormat="1" ht="12.75">
      <c r="A106" s="24">
        <f t="shared" si="1"/>
        <v>103</v>
      </c>
      <c r="B106" s="194">
        <v>37520</v>
      </c>
      <c r="C106" s="236" t="s">
        <v>46</v>
      </c>
      <c r="D106" s="229" t="s">
        <v>143</v>
      </c>
      <c r="E106" s="230" t="s">
        <v>405</v>
      </c>
      <c r="F106" s="231">
        <v>90000</v>
      </c>
      <c r="G106" s="232"/>
      <c r="H106" s="34">
        <v>0.1</v>
      </c>
      <c r="I106" s="115"/>
      <c r="J106" s="233">
        <v>37520</v>
      </c>
      <c r="K106" s="233"/>
      <c r="L106" s="233"/>
    </row>
    <row r="107" spans="1:12" s="145" customFormat="1" ht="12.75">
      <c r="A107" s="24">
        <f t="shared" si="1"/>
        <v>104</v>
      </c>
      <c r="B107" s="194">
        <v>37523</v>
      </c>
      <c r="C107" s="236" t="s">
        <v>171</v>
      </c>
      <c r="D107" s="186" t="s">
        <v>61</v>
      </c>
      <c r="E107" s="230" t="s">
        <v>405</v>
      </c>
      <c r="F107" s="231">
        <v>45000</v>
      </c>
      <c r="G107" s="232"/>
      <c r="H107" s="34">
        <v>0.1</v>
      </c>
      <c r="I107" s="115"/>
      <c r="J107" s="233">
        <v>37523</v>
      </c>
      <c r="K107" s="233"/>
      <c r="L107" s="233"/>
    </row>
    <row r="108" spans="1:12" s="145" customFormat="1" ht="12.75">
      <c r="A108" s="24">
        <f t="shared" si="1"/>
        <v>105</v>
      </c>
      <c r="B108" s="194">
        <v>37523</v>
      </c>
      <c r="C108" s="236" t="s">
        <v>322</v>
      </c>
      <c r="D108" s="186" t="s">
        <v>61</v>
      </c>
      <c r="E108" s="230" t="s">
        <v>405</v>
      </c>
      <c r="F108" s="231">
        <v>55000</v>
      </c>
      <c r="G108" s="232"/>
      <c r="H108" s="34">
        <v>0.1</v>
      </c>
      <c r="I108" s="339"/>
      <c r="J108" s="233">
        <v>37523</v>
      </c>
      <c r="K108" s="233"/>
      <c r="L108" s="233"/>
    </row>
    <row r="109" spans="1:12" s="145" customFormat="1" ht="12.75">
      <c r="A109" s="24">
        <f t="shared" si="1"/>
        <v>106</v>
      </c>
      <c r="B109" s="194">
        <v>37523</v>
      </c>
      <c r="C109" s="236" t="s">
        <v>368</v>
      </c>
      <c r="D109" s="186" t="s">
        <v>61</v>
      </c>
      <c r="E109" s="230" t="s">
        <v>405</v>
      </c>
      <c r="F109" s="231">
        <v>35000</v>
      </c>
      <c r="G109" s="232"/>
      <c r="H109" s="34">
        <v>0.1</v>
      </c>
      <c r="I109" s="115"/>
      <c r="J109" s="233">
        <v>37523</v>
      </c>
      <c r="K109" s="233"/>
      <c r="L109" s="233"/>
    </row>
    <row r="110" spans="1:12" s="145" customFormat="1" ht="12.75">
      <c r="A110" s="24">
        <f t="shared" si="1"/>
        <v>107</v>
      </c>
      <c r="B110" s="194">
        <v>37523</v>
      </c>
      <c r="C110" s="236" t="s">
        <v>307</v>
      </c>
      <c r="D110" s="186" t="s">
        <v>144</v>
      </c>
      <c r="E110" s="230" t="s">
        <v>405</v>
      </c>
      <c r="F110" s="231">
        <v>350000</v>
      </c>
      <c r="G110" s="232"/>
      <c r="H110" s="34">
        <v>0.1</v>
      </c>
      <c r="I110" s="115"/>
      <c r="J110" s="233">
        <v>37523</v>
      </c>
      <c r="K110" s="233"/>
      <c r="L110" s="233"/>
    </row>
    <row r="111" spans="1:12" s="145" customFormat="1" ht="12.75">
      <c r="A111" s="24"/>
      <c r="B111" s="194"/>
      <c r="C111" s="236"/>
      <c r="D111" s="186"/>
      <c r="E111" s="230"/>
      <c r="F111" s="231"/>
      <c r="G111" s="232"/>
      <c r="H111" s="34"/>
      <c r="I111" s="115"/>
      <c r="J111" s="233"/>
      <c r="K111" s="233"/>
      <c r="L111" s="233"/>
    </row>
    <row r="112" spans="1:12" s="19" customFormat="1" ht="12.75">
      <c r="A112" s="24"/>
      <c r="B112" s="25"/>
      <c r="C112" s="20"/>
      <c r="D112" s="85"/>
      <c r="E112" s="33"/>
      <c r="F112" s="98"/>
      <c r="G112" s="99"/>
      <c r="H112" s="32"/>
      <c r="I112" s="85"/>
      <c r="J112" s="101"/>
      <c r="K112" s="101"/>
      <c r="L112" s="101"/>
    </row>
    <row r="113" spans="1:12" s="19" customFormat="1" ht="12.75">
      <c r="A113"/>
      <c r="B113"/>
      <c r="C113" s="1"/>
      <c r="E113"/>
      <c r="F113" s="1"/>
      <c r="G113" s="1"/>
      <c r="H113" s="58"/>
      <c r="J113" s="3"/>
      <c r="K113" s="3"/>
      <c r="L113" s="3"/>
    </row>
    <row r="114" spans="1:12" ht="12.75">
      <c r="A114" s="84">
        <f>MAX(A3:A112)</f>
        <v>107</v>
      </c>
      <c r="E114" s="7" t="s">
        <v>392</v>
      </c>
      <c r="F114" s="42">
        <f>SUM(F4:F112)</f>
        <v>9892584.333333332</v>
      </c>
      <c r="G114" s="42"/>
      <c r="H114" s="60">
        <f>SUMPRODUCT(F4:F112,H4:H112)</f>
        <v>1273900.9000000001</v>
      </c>
      <c r="J114" s="60"/>
      <c r="K114" s="60"/>
      <c r="L114" s="60"/>
    </row>
    <row r="117" ht="11.25" customHeight="1"/>
    <row r="168" ht="12.75"/>
    <row r="169" ht="12.75"/>
    <row r="170" ht="12.75"/>
  </sheetData>
  <hyperlinks>
    <hyperlink ref="C69" r:id="rId1" display="www.cnn.com"/>
  </hyperlinks>
  <printOptions/>
  <pageMargins left="0.75" right="0.75" top="1" bottom="1" header="0.5" footer="0.5"/>
  <pageSetup horizontalDpi="300" verticalDpi="300" orientation="landscape" scale="85" r:id="rId4"/>
  <headerFooter alignWithMargins="0">
    <oddHeader>&amp;C&amp;"Arial,Bold"&amp;14Proposal and Lead Tracker&amp;R&amp;"Arial,Bold"&amp;14&amp;D</oddHeader>
    <oddFooter>&amp;C&amp;"Arial,Bold"&amp;14CONFIDENTIAL</oddFooter>
  </headerFooter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2"/>
  <sheetViews>
    <sheetView workbookViewId="0" topLeftCell="A1">
      <selection activeCell="D13" sqref="D13"/>
    </sheetView>
  </sheetViews>
  <sheetFormatPr defaultColWidth="2.7109375" defaultRowHeight="12.75"/>
  <cols>
    <col min="1" max="1" width="3.00390625" style="19" customWidth="1"/>
    <col min="2" max="2" width="10.57421875" style="19" customWidth="1"/>
    <col min="3" max="3" width="15.421875" style="19" customWidth="1"/>
    <col min="4" max="4" width="37.7109375" style="19" customWidth="1"/>
    <col min="5" max="5" width="18.57421875" style="22" customWidth="1"/>
    <col min="6" max="6" width="13.421875" style="19" customWidth="1"/>
    <col min="7" max="7" width="16.140625" style="19" customWidth="1"/>
    <col min="8" max="8" width="24.57421875" style="19" customWidth="1"/>
    <col min="9" max="16384" width="2.7109375" style="19" customWidth="1"/>
  </cols>
  <sheetData>
    <row r="1" spans="1:8" ht="15" customHeight="1">
      <c r="A1" s="49" t="s">
        <v>393</v>
      </c>
      <c r="E1" s="50"/>
      <c r="H1" s="22"/>
    </row>
    <row r="2" spans="1:8" s="14" customFormat="1" ht="12.75" customHeight="1">
      <c r="A2" s="11" t="s">
        <v>390</v>
      </c>
      <c r="B2" s="67" t="s">
        <v>399</v>
      </c>
      <c r="C2" s="67" t="s">
        <v>386</v>
      </c>
      <c r="D2" s="47" t="s">
        <v>379</v>
      </c>
      <c r="E2" s="47" t="s">
        <v>404</v>
      </c>
      <c r="F2" s="12" t="s">
        <v>387</v>
      </c>
      <c r="G2" s="11" t="s">
        <v>383</v>
      </c>
      <c r="H2" s="12" t="s">
        <v>394</v>
      </c>
    </row>
    <row r="3" spans="1:8" ht="12.75" customHeight="1">
      <c r="A3" s="15">
        <v>1</v>
      </c>
      <c r="B3" s="162">
        <v>37271</v>
      </c>
      <c r="C3" s="27" t="s">
        <v>147</v>
      </c>
      <c r="D3" s="20" t="s">
        <v>416</v>
      </c>
      <c r="E3" s="33" t="s">
        <v>410</v>
      </c>
      <c r="F3" s="28">
        <v>50000</v>
      </c>
      <c r="G3" s="17"/>
      <c r="H3" s="40"/>
    </row>
    <row r="4" spans="1:8" ht="12.75">
      <c r="A4" s="15">
        <f aca="true" t="shared" si="0" ref="A4:A10">A3+1</f>
        <v>2</v>
      </c>
      <c r="B4" s="162">
        <v>37298</v>
      </c>
      <c r="C4" s="17" t="s">
        <v>148</v>
      </c>
      <c r="D4" s="20" t="s">
        <v>413</v>
      </c>
      <c r="E4" s="33" t="s">
        <v>410</v>
      </c>
      <c r="F4" s="28">
        <v>250000</v>
      </c>
      <c r="G4" s="17"/>
      <c r="H4" s="40"/>
    </row>
    <row r="5" spans="1:8" ht="25.5">
      <c r="A5" s="15">
        <f t="shared" si="0"/>
        <v>3</v>
      </c>
      <c r="B5" s="162">
        <v>37340</v>
      </c>
      <c r="C5" s="20" t="s">
        <v>63</v>
      </c>
      <c r="D5" s="85" t="s">
        <v>281</v>
      </c>
      <c r="E5" s="33" t="s">
        <v>456</v>
      </c>
      <c r="F5" s="28">
        <v>124500</v>
      </c>
      <c r="G5" s="17" t="s">
        <v>375</v>
      </c>
      <c r="H5" s="40"/>
    </row>
    <row r="6" spans="1:8" ht="12.75">
      <c r="A6" s="15">
        <f t="shared" si="0"/>
        <v>4</v>
      </c>
      <c r="B6" s="162">
        <v>37351</v>
      </c>
      <c r="C6" s="20" t="s">
        <v>149</v>
      </c>
      <c r="D6" s="20" t="s">
        <v>413</v>
      </c>
      <c r="E6" s="33" t="s">
        <v>405</v>
      </c>
      <c r="F6" s="28">
        <v>0</v>
      </c>
      <c r="G6" s="17"/>
      <c r="H6" s="40"/>
    </row>
    <row r="7" spans="1:8" ht="12.75">
      <c r="A7" s="15">
        <f t="shared" si="0"/>
        <v>5</v>
      </c>
      <c r="B7" s="162">
        <v>37389</v>
      </c>
      <c r="C7" s="360" t="s">
        <v>150</v>
      </c>
      <c r="D7" s="85" t="s">
        <v>105</v>
      </c>
      <c r="E7" s="33" t="s">
        <v>405</v>
      </c>
      <c r="F7" s="28">
        <v>75000</v>
      </c>
      <c r="G7" s="17"/>
      <c r="H7" s="40"/>
    </row>
    <row r="8" spans="1:8" ht="12.75">
      <c r="A8" s="15">
        <f t="shared" si="0"/>
        <v>6</v>
      </c>
      <c r="B8" s="162">
        <v>37389</v>
      </c>
      <c r="C8" s="20" t="s">
        <v>151</v>
      </c>
      <c r="D8" s="85" t="s">
        <v>64</v>
      </c>
      <c r="E8" s="33" t="s">
        <v>405</v>
      </c>
      <c r="F8" s="28">
        <v>345000</v>
      </c>
      <c r="G8" s="17" t="s">
        <v>375</v>
      </c>
      <c r="H8" s="40"/>
    </row>
    <row r="9" spans="1:8" ht="12.75" customHeight="1">
      <c r="A9" s="15">
        <f t="shared" si="0"/>
        <v>7</v>
      </c>
      <c r="B9" s="162">
        <v>37432</v>
      </c>
      <c r="C9" s="154" t="s">
        <v>152</v>
      </c>
      <c r="D9" s="186" t="s">
        <v>281</v>
      </c>
      <c r="E9" s="156" t="s">
        <v>8</v>
      </c>
      <c r="F9" s="28">
        <v>25000</v>
      </c>
      <c r="G9" s="17" t="s">
        <v>375</v>
      </c>
      <c r="H9" s="40"/>
    </row>
    <row r="10" spans="1:8" ht="25.5">
      <c r="A10" s="15">
        <f t="shared" si="0"/>
        <v>8</v>
      </c>
      <c r="B10" s="162">
        <v>37512</v>
      </c>
      <c r="C10" s="236" t="s">
        <v>153</v>
      </c>
      <c r="D10" s="186" t="s">
        <v>283</v>
      </c>
      <c r="E10" s="156" t="s">
        <v>405</v>
      </c>
      <c r="F10" s="28">
        <v>32000</v>
      </c>
      <c r="G10" s="17" t="s">
        <v>375</v>
      </c>
      <c r="H10" s="40"/>
    </row>
    <row r="11" spans="1:8" ht="12.75" customHeight="1">
      <c r="A11" s="15"/>
      <c r="B11" s="83"/>
      <c r="C11" s="17"/>
      <c r="D11" s="20"/>
      <c r="E11" s="17"/>
      <c r="F11" s="28"/>
      <c r="G11" s="17"/>
      <c r="H11" s="40"/>
    </row>
    <row r="12" spans="1:6" ht="15" customHeight="1">
      <c r="A12" s="188">
        <f>MAX(A3:A11)</f>
        <v>8</v>
      </c>
      <c r="F12" s="55">
        <f>SUM(F3:F11)</f>
        <v>901500</v>
      </c>
    </row>
    <row r="13" ht="12.75" customHeight="1"/>
  </sheetData>
  <hyperlinks>
    <hyperlink ref="C7" r:id="rId1" display="www.cnn.com"/>
  </hyperlinks>
  <printOptions/>
  <pageMargins left="0.75" right="0.75" top="1" bottom="1" header="0.5" footer="0.5"/>
  <pageSetup fitToHeight="1" fitToWidth="1" horizontalDpi="300" verticalDpi="300" orientation="landscape" scale="95" r:id="rId2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AF198"/>
  <sheetViews>
    <sheetView workbookViewId="0" topLeftCell="A1">
      <pane xSplit="6" ySplit="4" topLeftCell="G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F4" sqref="F4"/>
    </sheetView>
  </sheetViews>
  <sheetFormatPr defaultColWidth="9.140625" defaultRowHeight="12.75"/>
  <cols>
    <col min="1" max="1" width="3.00390625" style="193" customWidth="1"/>
    <col min="2" max="2" width="2.8515625" style="145" customWidth="1"/>
    <col min="3" max="3" width="8.421875" style="145" customWidth="1"/>
    <col min="4" max="4" width="22.57421875" style="145" customWidth="1"/>
    <col min="5" max="5" width="27.421875" style="145" customWidth="1"/>
    <col min="6" max="6" width="14.00390625" style="145" bestFit="1" customWidth="1"/>
    <col min="7" max="7" width="15.00390625" style="145" bestFit="1" customWidth="1"/>
    <col min="8" max="8" width="14.00390625" style="281" bestFit="1" customWidth="1"/>
    <col min="9" max="17" width="11.28125" style="145" bestFit="1" customWidth="1"/>
    <col min="18" max="18" width="1.57421875" style="209" customWidth="1"/>
    <col min="19" max="19" width="10.28125" style="145" bestFit="1" customWidth="1"/>
    <col min="20" max="20" width="11.28125" style="145" bestFit="1" customWidth="1"/>
    <col min="21" max="21" width="10.28125" style="145" bestFit="1" customWidth="1"/>
    <col min="22" max="22" width="11.28125" style="145" bestFit="1" customWidth="1"/>
    <col min="23" max="32" width="10.28125" style="145" bestFit="1" customWidth="1"/>
    <col min="33" max="128" width="8.8515625" style="145" customWidth="1"/>
    <col min="129" max="16384" width="8.8515625" style="151" customWidth="1"/>
  </cols>
  <sheetData>
    <row r="2" spans="1:32" ht="38.25">
      <c r="A2" s="263" t="s">
        <v>91</v>
      </c>
      <c r="B2" s="263" t="s">
        <v>110</v>
      </c>
      <c r="C2" s="263" t="s">
        <v>111</v>
      </c>
      <c r="D2" s="263" t="s">
        <v>426</v>
      </c>
      <c r="E2" s="263" t="s">
        <v>146</v>
      </c>
      <c r="F2" s="210" t="s">
        <v>82</v>
      </c>
      <c r="G2" s="152" t="s">
        <v>445</v>
      </c>
      <c r="H2" s="264" t="s">
        <v>83</v>
      </c>
      <c r="I2" s="152"/>
      <c r="J2" s="152"/>
      <c r="K2" s="152"/>
      <c r="L2" s="152"/>
      <c r="M2" s="152"/>
      <c r="N2" s="152"/>
      <c r="O2" s="152"/>
      <c r="P2" s="152"/>
      <c r="Q2" s="152"/>
      <c r="R2" s="205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3:32" ht="3.75" customHeight="1">
      <c r="C3" s="265"/>
      <c r="D3" s="265"/>
      <c r="F3" s="153"/>
      <c r="G3" s="153"/>
      <c r="H3" s="266"/>
      <c r="I3" s="153"/>
      <c r="J3" s="153"/>
      <c r="K3" s="153"/>
      <c r="L3" s="153"/>
      <c r="M3" s="153"/>
      <c r="N3" s="153"/>
      <c r="O3" s="153"/>
      <c r="P3" s="153"/>
      <c r="Q3" s="153"/>
      <c r="R3" s="206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3:32" ht="12.75">
      <c r="C4" s="265"/>
      <c r="D4" s="265"/>
      <c r="F4" s="211">
        <f>SUM(F6:F99)</f>
        <v>3771900</v>
      </c>
      <c r="G4" s="161">
        <f>SUM(G5:G123)</f>
        <v>17995390.4</v>
      </c>
      <c r="H4" s="161">
        <f>SUMPRODUCT(G6:G100,H6:H100)</f>
        <v>3771900</v>
      </c>
      <c r="I4" s="161"/>
      <c r="J4" s="161"/>
      <c r="K4" s="161"/>
      <c r="L4" s="161"/>
      <c r="M4" s="161"/>
      <c r="N4" s="161"/>
      <c r="O4" s="161"/>
      <c r="P4" s="161"/>
      <c r="Q4" s="161"/>
      <c r="R4" s="207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1" ht="5.25" customHeight="1">
      <c r="A5" s="214">
        <v>0</v>
      </c>
      <c r="C5" s="265"/>
      <c r="E5" s="267"/>
      <c r="F5" s="153"/>
      <c r="G5" s="153"/>
      <c r="H5" s="266"/>
      <c r="I5" s="153"/>
      <c r="J5" s="153"/>
      <c r="K5" s="153"/>
      <c r="L5" s="153"/>
      <c r="M5" s="153"/>
      <c r="N5" s="153"/>
      <c r="O5" s="153"/>
      <c r="P5" s="153"/>
      <c r="Q5" s="153"/>
      <c r="R5" s="206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ht="12.75">
      <c r="A6" s="193">
        <f aca="true" t="shared" si="0" ref="A6:A37">A5+1</f>
        <v>1</v>
      </c>
      <c r="C6" s="268">
        <v>37509</v>
      </c>
      <c r="D6" s="269" t="s">
        <v>65</v>
      </c>
      <c r="E6" s="115" t="s">
        <v>66</v>
      </c>
      <c r="F6" s="161">
        <f>G6*H6</f>
        <v>60000</v>
      </c>
      <c r="G6" s="153">
        <v>200000</v>
      </c>
      <c r="H6" s="266">
        <v>0.3</v>
      </c>
      <c r="I6" s="153"/>
      <c r="J6" s="153"/>
      <c r="L6" s="196"/>
      <c r="M6" s="153"/>
      <c r="N6" s="153"/>
      <c r="O6" s="153"/>
      <c r="P6" s="153"/>
      <c r="Q6" s="153"/>
      <c r="R6" s="206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12.75">
      <c r="A7" s="193">
        <f t="shared" si="0"/>
        <v>2</v>
      </c>
      <c r="C7" s="268">
        <v>37509</v>
      </c>
      <c r="D7" s="269" t="s">
        <v>65</v>
      </c>
      <c r="E7" s="115" t="s">
        <v>66</v>
      </c>
      <c r="F7" s="161">
        <f aca="true" t="shared" si="1" ref="F7:F70">G7*H7</f>
        <v>70000</v>
      </c>
      <c r="G7" s="153">
        <v>100000</v>
      </c>
      <c r="H7" s="266">
        <v>0.7</v>
      </c>
      <c r="I7" s="153"/>
      <c r="J7" s="153"/>
      <c r="K7" s="153"/>
      <c r="L7" s="153"/>
      <c r="M7" s="153"/>
      <c r="N7" s="153"/>
      <c r="P7" s="153"/>
      <c r="Q7" s="153"/>
      <c r="R7" s="206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12.75">
      <c r="A8" s="193">
        <f t="shared" si="0"/>
        <v>3</v>
      </c>
      <c r="C8" s="268">
        <v>37509</v>
      </c>
      <c r="D8" s="269" t="s">
        <v>65</v>
      </c>
      <c r="E8" s="115" t="s">
        <v>66</v>
      </c>
      <c r="F8" s="161">
        <f t="shared" si="1"/>
        <v>67500</v>
      </c>
      <c r="G8" s="153">
        <v>75000</v>
      </c>
      <c r="H8" s="266">
        <v>0.9</v>
      </c>
      <c r="I8" s="153"/>
      <c r="J8" s="153"/>
      <c r="K8" s="153"/>
      <c r="L8" s="153"/>
      <c r="M8" s="153"/>
      <c r="N8" s="153"/>
      <c r="O8" s="153"/>
      <c r="P8" s="153"/>
      <c r="Q8" s="153"/>
      <c r="R8" s="206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12.75">
      <c r="A9" s="271">
        <f t="shared" si="0"/>
        <v>4</v>
      </c>
      <c r="C9" s="268">
        <v>37509</v>
      </c>
      <c r="D9" s="269" t="s">
        <v>65</v>
      </c>
      <c r="E9" s="115" t="s">
        <v>66</v>
      </c>
      <c r="F9" s="161">
        <f t="shared" si="1"/>
        <v>40000</v>
      </c>
      <c r="G9" s="153">
        <v>100000</v>
      </c>
      <c r="H9" s="266">
        <v>0.4</v>
      </c>
      <c r="I9" s="153"/>
      <c r="J9" s="153"/>
      <c r="K9" s="153"/>
      <c r="L9" s="153"/>
      <c r="M9" s="153"/>
      <c r="O9" s="153"/>
      <c r="P9" s="153"/>
      <c r="R9" s="206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12.75">
      <c r="A10" s="193">
        <f t="shared" si="0"/>
        <v>5</v>
      </c>
      <c r="C10" s="268">
        <v>37509</v>
      </c>
      <c r="D10" s="269" t="s">
        <v>65</v>
      </c>
      <c r="E10" s="115" t="s">
        <v>66</v>
      </c>
      <c r="F10" s="161">
        <f t="shared" si="1"/>
        <v>40000</v>
      </c>
      <c r="G10" s="153">
        <v>200000</v>
      </c>
      <c r="H10" s="266">
        <v>0.2</v>
      </c>
      <c r="I10" s="153"/>
      <c r="J10" s="153"/>
      <c r="L10" s="196"/>
      <c r="M10" s="153"/>
      <c r="N10" s="153"/>
      <c r="O10" s="153"/>
      <c r="P10" s="153"/>
      <c r="Q10" s="153"/>
      <c r="R10" s="206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 ht="12.75">
      <c r="A11" s="193">
        <f t="shared" si="0"/>
        <v>6</v>
      </c>
      <c r="C11" s="268">
        <v>37509</v>
      </c>
      <c r="D11" s="269" t="s">
        <v>65</v>
      </c>
      <c r="E11" s="115" t="s">
        <v>66</v>
      </c>
      <c r="F11" s="161">
        <f t="shared" si="1"/>
        <v>60000</v>
      </c>
      <c r="G11" s="153">
        <v>150000</v>
      </c>
      <c r="H11" s="266">
        <v>0.4</v>
      </c>
      <c r="I11" s="153"/>
      <c r="J11" s="153"/>
      <c r="K11" s="153"/>
      <c r="L11" s="153"/>
      <c r="M11" s="153"/>
      <c r="N11" s="153"/>
      <c r="O11" s="153"/>
      <c r="P11" s="153"/>
      <c r="Q11" s="153"/>
      <c r="R11" s="206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12.75">
      <c r="A12" s="193">
        <f t="shared" si="0"/>
        <v>7</v>
      </c>
      <c r="C12" s="268">
        <v>37509</v>
      </c>
      <c r="D12" s="269" t="s">
        <v>65</v>
      </c>
      <c r="E12" s="115" t="s">
        <v>66</v>
      </c>
      <c r="F12" s="161">
        <f t="shared" si="1"/>
        <v>30000</v>
      </c>
      <c r="G12" s="153">
        <v>75000</v>
      </c>
      <c r="H12" s="266">
        <v>0.4</v>
      </c>
      <c r="I12" s="153"/>
      <c r="J12" s="153"/>
      <c r="L12" s="196"/>
      <c r="M12" s="153"/>
      <c r="N12" s="153"/>
      <c r="O12" s="153"/>
      <c r="P12" s="153"/>
      <c r="Q12" s="153"/>
      <c r="R12" s="206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ht="12.75">
      <c r="A13" s="193">
        <f t="shared" si="0"/>
        <v>8</v>
      </c>
      <c r="C13" s="268">
        <v>37509</v>
      </c>
      <c r="D13" s="269" t="s">
        <v>65</v>
      </c>
      <c r="E13" s="115" t="s">
        <v>66</v>
      </c>
      <c r="F13" s="161">
        <f t="shared" si="1"/>
        <v>30000</v>
      </c>
      <c r="G13" s="153">
        <v>100000</v>
      </c>
      <c r="H13" s="266">
        <v>0.3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206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12.75">
      <c r="A14" s="193">
        <f t="shared" si="0"/>
        <v>9</v>
      </c>
      <c r="C14" s="268">
        <v>37509</v>
      </c>
      <c r="D14" s="269" t="s">
        <v>65</v>
      </c>
      <c r="E14" s="115" t="s">
        <v>66</v>
      </c>
      <c r="F14" s="161">
        <f t="shared" si="1"/>
        <v>30000</v>
      </c>
      <c r="G14" s="153">
        <v>100000</v>
      </c>
      <c r="H14" s="266">
        <v>0.3</v>
      </c>
      <c r="I14" s="153"/>
      <c r="K14" s="196"/>
      <c r="N14" s="153"/>
      <c r="O14" s="153"/>
      <c r="P14" s="153"/>
      <c r="Q14" s="153"/>
      <c r="R14" s="206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 ht="12.75">
      <c r="A15" s="193">
        <f t="shared" si="0"/>
        <v>10</v>
      </c>
      <c r="C15" s="268">
        <v>37509</v>
      </c>
      <c r="D15" s="269" t="s">
        <v>65</v>
      </c>
      <c r="E15" s="115" t="s">
        <v>66</v>
      </c>
      <c r="F15" s="161">
        <f t="shared" si="1"/>
        <v>22500</v>
      </c>
      <c r="G15" s="153">
        <v>75000</v>
      </c>
      <c r="H15" s="266">
        <v>0.3</v>
      </c>
      <c r="I15" s="153"/>
      <c r="J15" s="153"/>
      <c r="L15" s="196"/>
      <c r="M15" s="153"/>
      <c r="N15" s="153"/>
      <c r="O15" s="153"/>
      <c r="P15" s="153"/>
      <c r="Q15" s="153"/>
      <c r="R15" s="206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ht="12.75">
      <c r="A16" s="193">
        <f t="shared" si="0"/>
        <v>11</v>
      </c>
      <c r="C16" s="268">
        <v>37509</v>
      </c>
      <c r="D16" s="269" t="s">
        <v>65</v>
      </c>
      <c r="E16" s="115" t="s">
        <v>66</v>
      </c>
      <c r="F16" s="161">
        <f t="shared" si="1"/>
        <v>50000</v>
      </c>
      <c r="G16" s="153">
        <v>250000</v>
      </c>
      <c r="H16" s="266">
        <v>0.2</v>
      </c>
      <c r="I16" s="153"/>
      <c r="J16" s="153"/>
      <c r="L16" s="196"/>
      <c r="M16" s="153"/>
      <c r="N16" s="153"/>
      <c r="O16" s="153"/>
      <c r="P16" s="153"/>
      <c r="Q16" s="153"/>
      <c r="R16" s="206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 ht="12.75">
      <c r="A17" s="193">
        <f t="shared" si="0"/>
        <v>12</v>
      </c>
      <c r="C17" s="268">
        <v>37509</v>
      </c>
      <c r="D17" s="269" t="s">
        <v>65</v>
      </c>
      <c r="E17" s="115" t="s">
        <v>66</v>
      </c>
      <c r="F17" s="161">
        <f t="shared" si="1"/>
        <v>30000</v>
      </c>
      <c r="G17" s="153">
        <v>150000</v>
      </c>
      <c r="H17" s="266">
        <v>0.2</v>
      </c>
      <c r="I17" s="153"/>
      <c r="J17" s="153"/>
      <c r="L17" s="196"/>
      <c r="M17" s="153"/>
      <c r="N17" s="153"/>
      <c r="O17" s="153"/>
      <c r="P17" s="153"/>
      <c r="Q17" s="153"/>
      <c r="R17" s="206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 ht="12.75">
      <c r="A18" s="193">
        <f t="shared" si="0"/>
        <v>13</v>
      </c>
      <c r="C18" s="268">
        <v>37509</v>
      </c>
      <c r="D18" s="269" t="s">
        <v>65</v>
      </c>
      <c r="E18" s="115" t="s">
        <v>66</v>
      </c>
      <c r="F18" s="161">
        <f t="shared" si="1"/>
        <v>50000</v>
      </c>
      <c r="G18" s="153">
        <v>250000</v>
      </c>
      <c r="H18" s="266">
        <v>0.2</v>
      </c>
      <c r="I18" s="153"/>
      <c r="J18" s="153"/>
      <c r="L18" s="196"/>
      <c r="M18" s="153"/>
      <c r="N18" s="153"/>
      <c r="O18" s="153"/>
      <c r="P18" s="153"/>
      <c r="Q18" s="153"/>
      <c r="R18" s="206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 ht="12.75">
      <c r="A19" s="193">
        <f t="shared" si="0"/>
        <v>14</v>
      </c>
      <c r="C19" s="268">
        <v>37509</v>
      </c>
      <c r="D19" s="269" t="s">
        <v>65</v>
      </c>
      <c r="E19" s="115" t="s">
        <v>66</v>
      </c>
      <c r="F19" s="161">
        <f t="shared" si="1"/>
        <v>50000</v>
      </c>
      <c r="G19" s="153">
        <v>250000</v>
      </c>
      <c r="H19" s="266">
        <v>0.2</v>
      </c>
      <c r="I19" s="153"/>
      <c r="J19" s="153"/>
      <c r="L19" s="196"/>
      <c r="M19" s="153"/>
      <c r="N19" s="153"/>
      <c r="O19" s="153"/>
      <c r="P19" s="153"/>
      <c r="Q19" s="153"/>
      <c r="R19" s="206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 ht="12.75">
      <c r="A20" s="193">
        <f t="shared" si="0"/>
        <v>15</v>
      </c>
      <c r="C20" s="268">
        <v>37509</v>
      </c>
      <c r="D20" s="269" t="s">
        <v>65</v>
      </c>
      <c r="E20" s="115" t="s">
        <v>66</v>
      </c>
      <c r="F20" s="161">
        <f t="shared" si="1"/>
        <v>50000</v>
      </c>
      <c r="G20" s="153">
        <v>250000</v>
      </c>
      <c r="H20" s="266">
        <v>0.2</v>
      </c>
      <c r="I20" s="153"/>
      <c r="J20" s="153"/>
      <c r="L20" s="196"/>
      <c r="M20" s="153"/>
      <c r="N20" s="153"/>
      <c r="O20" s="153"/>
      <c r="P20" s="153"/>
      <c r="Q20" s="153"/>
      <c r="R20" s="206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1:31" ht="12.75">
      <c r="A21" s="193">
        <f t="shared" si="0"/>
        <v>16</v>
      </c>
      <c r="C21" s="268">
        <v>37509</v>
      </c>
      <c r="D21" s="269" t="s">
        <v>65</v>
      </c>
      <c r="E21" s="115" t="s">
        <v>66</v>
      </c>
      <c r="F21" s="161">
        <f t="shared" si="1"/>
        <v>50000</v>
      </c>
      <c r="G21" s="153">
        <v>250000</v>
      </c>
      <c r="H21" s="266">
        <v>0.2</v>
      </c>
      <c r="I21" s="153"/>
      <c r="J21" s="153"/>
      <c r="L21" s="196"/>
      <c r="M21" s="153"/>
      <c r="N21" s="153"/>
      <c r="O21" s="153"/>
      <c r="P21" s="153"/>
      <c r="Q21" s="153"/>
      <c r="R21" s="206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1:31" ht="12.75">
      <c r="A22" s="193">
        <f t="shared" si="0"/>
        <v>17</v>
      </c>
      <c r="C22" s="268">
        <v>37509</v>
      </c>
      <c r="D22" s="269" t="s">
        <v>65</v>
      </c>
      <c r="E22" s="115" t="s">
        <v>66</v>
      </c>
      <c r="F22" s="161">
        <f t="shared" si="1"/>
        <v>50000</v>
      </c>
      <c r="G22" s="153">
        <v>250000</v>
      </c>
      <c r="H22" s="266">
        <v>0.2</v>
      </c>
      <c r="I22" s="153"/>
      <c r="J22" s="153"/>
      <c r="L22" s="196"/>
      <c r="M22" s="153"/>
      <c r="N22" s="153"/>
      <c r="O22" s="153"/>
      <c r="P22" s="153"/>
      <c r="Q22" s="153"/>
      <c r="R22" s="206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12.75">
      <c r="A23" s="193">
        <f t="shared" si="0"/>
        <v>18</v>
      </c>
      <c r="C23" s="268">
        <v>37509</v>
      </c>
      <c r="D23" s="269" t="s">
        <v>65</v>
      </c>
      <c r="E23" s="115" t="s">
        <v>66</v>
      </c>
      <c r="F23" s="161">
        <f t="shared" si="1"/>
        <v>50000</v>
      </c>
      <c r="G23" s="153">
        <v>250000</v>
      </c>
      <c r="H23" s="266">
        <v>0.2</v>
      </c>
      <c r="I23" s="153"/>
      <c r="J23" s="153"/>
      <c r="L23" s="196"/>
      <c r="M23" s="153"/>
      <c r="N23" s="153"/>
      <c r="O23" s="153"/>
      <c r="P23" s="153"/>
      <c r="Q23" s="153"/>
      <c r="R23" s="206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12.75">
      <c r="A24" s="193">
        <f t="shared" si="0"/>
        <v>19</v>
      </c>
      <c r="C24" s="268">
        <v>37509</v>
      </c>
      <c r="D24" s="269" t="s">
        <v>65</v>
      </c>
      <c r="E24" s="115" t="s">
        <v>66</v>
      </c>
      <c r="F24" s="161">
        <f t="shared" si="1"/>
        <v>50000</v>
      </c>
      <c r="G24" s="153">
        <v>250000</v>
      </c>
      <c r="H24" s="266">
        <v>0.2</v>
      </c>
      <c r="I24" s="153"/>
      <c r="J24" s="153"/>
      <c r="L24" s="196"/>
      <c r="M24" s="153"/>
      <c r="N24" s="153"/>
      <c r="O24" s="153"/>
      <c r="P24" s="153"/>
      <c r="Q24" s="153"/>
      <c r="R24" s="206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12.75">
      <c r="A25" s="193">
        <f t="shared" si="0"/>
        <v>20</v>
      </c>
      <c r="C25" s="268">
        <v>37509</v>
      </c>
      <c r="D25" s="269" t="s">
        <v>65</v>
      </c>
      <c r="E25" s="115" t="s">
        <v>66</v>
      </c>
      <c r="F25" s="161">
        <f t="shared" si="1"/>
        <v>50000</v>
      </c>
      <c r="G25" s="153">
        <v>250000</v>
      </c>
      <c r="H25" s="266">
        <v>0.2</v>
      </c>
      <c r="I25" s="153"/>
      <c r="J25" s="153"/>
      <c r="L25" s="196"/>
      <c r="M25" s="153"/>
      <c r="N25" s="153"/>
      <c r="O25" s="153"/>
      <c r="P25" s="153"/>
      <c r="Q25" s="153"/>
      <c r="R25" s="20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12.75">
      <c r="A26" s="193">
        <f t="shared" si="0"/>
        <v>21</v>
      </c>
      <c r="C26" s="268">
        <v>37509</v>
      </c>
      <c r="D26" s="269" t="s">
        <v>65</v>
      </c>
      <c r="E26" s="115" t="s">
        <v>66</v>
      </c>
      <c r="F26" s="161">
        <f t="shared" si="1"/>
        <v>50000</v>
      </c>
      <c r="G26" s="153">
        <v>250000</v>
      </c>
      <c r="H26" s="266">
        <v>0.2</v>
      </c>
      <c r="I26" s="153"/>
      <c r="J26" s="153"/>
      <c r="L26" s="196"/>
      <c r="M26" s="153"/>
      <c r="N26" s="153"/>
      <c r="O26" s="153"/>
      <c r="P26" s="153"/>
      <c r="Q26" s="153"/>
      <c r="R26" s="20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12.75">
      <c r="A27" s="193">
        <f t="shared" si="0"/>
        <v>22</v>
      </c>
      <c r="C27" s="268">
        <v>37509</v>
      </c>
      <c r="D27" s="269" t="s">
        <v>65</v>
      </c>
      <c r="E27" s="115" t="s">
        <v>66</v>
      </c>
      <c r="F27" s="161">
        <f t="shared" si="1"/>
        <v>50000</v>
      </c>
      <c r="G27" s="153">
        <v>250000</v>
      </c>
      <c r="H27" s="266">
        <v>0.2</v>
      </c>
      <c r="I27" s="153"/>
      <c r="J27" s="153"/>
      <c r="L27" s="196"/>
      <c r="M27" s="153"/>
      <c r="N27" s="153"/>
      <c r="O27" s="153"/>
      <c r="P27" s="153"/>
      <c r="Q27" s="153"/>
      <c r="R27" s="20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ht="12.75">
      <c r="A28" s="193">
        <f t="shared" si="0"/>
        <v>23</v>
      </c>
      <c r="C28" s="268">
        <v>37509</v>
      </c>
      <c r="D28" s="269" t="s">
        <v>65</v>
      </c>
      <c r="E28" s="115" t="s">
        <v>66</v>
      </c>
      <c r="F28" s="161">
        <f t="shared" si="1"/>
        <v>50000</v>
      </c>
      <c r="G28" s="153">
        <v>250000</v>
      </c>
      <c r="H28" s="266">
        <v>0.2</v>
      </c>
      <c r="I28" s="153"/>
      <c r="J28" s="153"/>
      <c r="L28" s="196"/>
      <c r="M28" s="153"/>
      <c r="N28" s="153"/>
      <c r="O28" s="153"/>
      <c r="P28" s="153"/>
      <c r="Q28" s="153"/>
      <c r="R28" s="20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ht="12.75">
      <c r="A29" s="193">
        <f t="shared" si="0"/>
        <v>24</v>
      </c>
      <c r="C29" s="268">
        <v>37509</v>
      </c>
      <c r="D29" s="269" t="s">
        <v>65</v>
      </c>
      <c r="E29" s="115" t="s">
        <v>66</v>
      </c>
      <c r="F29" s="161">
        <f t="shared" si="1"/>
        <v>50000</v>
      </c>
      <c r="G29" s="153">
        <v>250000</v>
      </c>
      <c r="H29" s="266">
        <v>0.2</v>
      </c>
      <c r="I29" s="153"/>
      <c r="J29" s="153"/>
      <c r="L29" s="196"/>
      <c r="M29" s="153"/>
      <c r="N29" s="153"/>
      <c r="O29" s="153"/>
      <c r="P29" s="153"/>
      <c r="Q29" s="153"/>
      <c r="R29" s="20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ht="12.75">
      <c r="A30" s="193">
        <f t="shared" si="0"/>
        <v>25</v>
      </c>
      <c r="C30" s="268">
        <v>37509</v>
      </c>
      <c r="D30" s="269" t="s">
        <v>65</v>
      </c>
      <c r="E30" s="115" t="s">
        <v>66</v>
      </c>
      <c r="F30" s="161">
        <f t="shared" si="1"/>
        <v>50000</v>
      </c>
      <c r="G30" s="153">
        <v>250000</v>
      </c>
      <c r="H30" s="266">
        <v>0.2</v>
      </c>
      <c r="I30" s="153"/>
      <c r="J30" s="153"/>
      <c r="L30" s="196"/>
      <c r="M30" s="153"/>
      <c r="N30" s="153"/>
      <c r="O30" s="153"/>
      <c r="P30" s="153"/>
      <c r="Q30" s="153"/>
      <c r="R30" s="206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 ht="12.75">
      <c r="A31" s="193">
        <f t="shared" si="0"/>
        <v>26</v>
      </c>
      <c r="C31" s="268">
        <v>37509</v>
      </c>
      <c r="D31" s="269" t="s">
        <v>65</v>
      </c>
      <c r="E31" s="115" t="s">
        <v>66</v>
      </c>
      <c r="F31" s="161">
        <f t="shared" si="1"/>
        <v>50000</v>
      </c>
      <c r="G31" s="153">
        <v>250000</v>
      </c>
      <c r="H31" s="266">
        <v>0.2</v>
      </c>
      <c r="I31" s="153"/>
      <c r="J31" s="153"/>
      <c r="L31" s="196"/>
      <c r="M31" s="153"/>
      <c r="N31" s="153"/>
      <c r="O31" s="153"/>
      <c r="P31" s="153"/>
      <c r="Q31" s="153"/>
      <c r="R31" s="20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pans="1:31" ht="12.75">
      <c r="A32" s="193">
        <f t="shared" si="0"/>
        <v>27</v>
      </c>
      <c r="C32" s="268">
        <v>37509</v>
      </c>
      <c r="D32" s="269" t="s">
        <v>65</v>
      </c>
      <c r="E32" s="115" t="s">
        <v>66</v>
      </c>
      <c r="F32" s="161">
        <f t="shared" si="1"/>
        <v>50000</v>
      </c>
      <c r="G32" s="153">
        <v>250000</v>
      </c>
      <c r="H32" s="266">
        <v>0.2</v>
      </c>
      <c r="I32" s="153"/>
      <c r="J32" s="153"/>
      <c r="L32" s="196"/>
      <c r="M32" s="153"/>
      <c r="N32" s="153"/>
      <c r="O32" s="153"/>
      <c r="P32" s="153"/>
      <c r="Q32" s="153"/>
      <c r="R32" s="206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1:31" ht="12.75">
      <c r="A33" s="193">
        <f t="shared" si="0"/>
        <v>28</v>
      </c>
      <c r="C33" s="268">
        <v>37509</v>
      </c>
      <c r="D33" s="269" t="s">
        <v>65</v>
      </c>
      <c r="E33" s="115" t="s">
        <v>66</v>
      </c>
      <c r="F33" s="161">
        <f t="shared" si="1"/>
        <v>50000</v>
      </c>
      <c r="G33" s="153">
        <v>250000</v>
      </c>
      <c r="H33" s="266">
        <v>0.2</v>
      </c>
      <c r="I33" s="153"/>
      <c r="J33" s="153"/>
      <c r="L33" s="196"/>
      <c r="M33" s="153"/>
      <c r="N33" s="153"/>
      <c r="O33" s="153"/>
      <c r="P33" s="153"/>
      <c r="Q33" s="153"/>
      <c r="R33" s="206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</row>
    <row r="34" spans="1:31" ht="12.75">
      <c r="A34" s="193">
        <f t="shared" si="0"/>
        <v>29</v>
      </c>
      <c r="C34" s="268">
        <v>37509</v>
      </c>
      <c r="D34" s="269" t="s">
        <v>65</v>
      </c>
      <c r="E34" s="115" t="s">
        <v>66</v>
      </c>
      <c r="F34" s="161">
        <f t="shared" si="1"/>
        <v>50000</v>
      </c>
      <c r="G34" s="153">
        <v>250000</v>
      </c>
      <c r="H34" s="266">
        <v>0.2</v>
      </c>
      <c r="I34" s="153"/>
      <c r="J34" s="153"/>
      <c r="L34" s="196"/>
      <c r="M34" s="153"/>
      <c r="N34" s="153"/>
      <c r="O34" s="153"/>
      <c r="P34" s="153"/>
      <c r="Q34" s="153"/>
      <c r="R34" s="206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</row>
    <row r="35" spans="1:31" ht="12.75">
      <c r="A35" s="193">
        <f t="shared" si="0"/>
        <v>30</v>
      </c>
      <c r="C35" s="268">
        <v>37509</v>
      </c>
      <c r="D35" s="269" t="s">
        <v>65</v>
      </c>
      <c r="E35" s="115" t="s">
        <v>66</v>
      </c>
      <c r="F35" s="161">
        <f t="shared" si="1"/>
        <v>50000</v>
      </c>
      <c r="G35" s="153">
        <v>250000</v>
      </c>
      <c r="H35" s="266">
        <v>0.2</v>
      </c>
      <c r="I35" s="153"/>
      <c r="J35" s="153"/>
      <c r="L35" s="196"/>
      <c r="M35" s="153"/>
      <c r="N35" s="153"/>
      <c r="O35" s="153"/>
      <c r="P35" s="153"/>
      <c r="Q35" s="153"/>
      <c r="R35" s="206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1:31" ht="12.75">
      <c r="A36" s="193">
        <f t="shared" si="0"/>
        <v>31</v>
      </c>
      <c r="C36" s="268">
        <v>37509</v>
      </c>
      <c r="D36" s="269" t="s">
        <v>65</v>
      </c>
      <c r="E36" s="115" t="s">
        <v>66</v>
      </c>
      <c r="F36" s="161">
        <f t="shared" si="1"/>
        <v>50000</v>
      </c>
      <c r="G36" s="153">
        <v>250000</v>
      </c>
      <c r="H36" s="266">
        <v>0.2</v>
      </c>
      <c r="I36" s="153"/>
      <c r="J36" s="153"/>
      <c r="L36" s="196"/>
      <c r="M36" s="153"/>
      <c r="N36" s="153"/>
      <c r="O36" s="153"/>
      <c r="P36" s="153"/>
      <c r="Q36" s="153"/>
      <c r="R36" s="206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</row>
    <row r="37" spans="1:31" ht="12.75">
      <c r="A37" s="193">
        <f t="shared" si="0"/>
        <v>32</v>
      </c>
      <c r="C37" s="268">
        <v>37509</v>
      </c>
      <c r="D37" s="269" t="s">
        <v>65</v>
      </c>
      <c r="E37" s="115" t="s">
        <v>66</v>
      </c>
      <c r="F37" s="161">
        <f t="shared" si="1"/>
        <v>50000</v>
      </c>
      <c r="G37" s="153">
        <v>250000</v>
      </c>
      <c r="H37" s="266">
        <v>0.2</v>
      </c>
      <c r="I37" s="153"/>
      <c r="J37" s="153"/>
      <c r="L37" s="196"/>
      <c r="M37" s="153"/>
      <c r="N37" s="153"/>
      <c r="O37" s="153"/>
      <c r="P37" s="153"/>
      <c r="Q37" s="153"/>
      <c r="R37" s="206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1:31" ht="12.75">
      <c r="A38" s="193">
        <f aca="true" t="shared" si="2" ref="A38:A69">A37+1</f>
        <v>33</v>
      </c>
      <c r="C38" s="268">
        <v>37509</v>
      </c>
      <c r="D38" s="269" t="s">
        <v>65</v>
      </c>
      <c r="E38" s="115" t="s">
        <v>66</v>
      </c>
      <c r="F38" s="161">
        <f t="shared" si="1"/>
        <v>50000</v>
      </c>
      <c r="G38" s="153">
        <v>250000</v>
      </c>
      <c r="H38" s="266">
        <v>0.2</v>
      </c>
      <c r="I38" s="153"/>
      <c r="J38" s="153"/>
      <c r="L38" s="196"/>
      <c r="M38" s="153"/>
      <c r="N38" s="153"/>
      <c r="O38" s="153"/>
      <c r="P38" s="153"/>
      <c r="Q38" s="153"/>
      <c r="R38" s="206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1:31" ht="12.75">
      <c r="A39" s="193">
        <f t="shared" si="2"/>
        <v>34</v>
      </c>
      <c r="C39" s="268">
        <v>37509</v>
      </c>
      <c r="D39" s="269" t="s">
        <v>65</v>
      </c>
      <c r="E39" s="115" t="s">
        <v>66</v>
      </c>
      <c r="F39" s="161">
        <f t="shared" si="1"/>
        <v>50000</v>
      </c>
      <c r="G39" s="153">
        <v>250000</v>
      </c>
      <c r="H39" s="266">
        <v>0.2</v>
      </c>
      <c r="I39" s="153"/>
      <c r="J39" s="153"/>
      <c r="L39" s="196"/>
      <c r="M39" s="153"/>
      <c r="N39" s="153"/>
      <c r="O39" s="153"/>
      <c r="P39" s="153"/>
      <c r="Q39" s="153"/>
      <c r="R39" s="206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</row>
    <row r="40" spans="1:31" ht="12.75">
      <c r="A40" s="193">
        <f t="shared" si="2"/>
        <v>35</v>
      </c>
      <c r="C40" s="268">
        <v>37509</v>
      </c>
      <c r="D40" s="269" t="s">
        <v>65</v>
      </c>
      <c r="E40" s="115" t="s">
        <v>66</v>
      </c>
      <c r="F40" s="161">
        <f t="shared" si="1"/>
        <v>50000</v>
      </c>
      <c r="G40" s="153">
        <v>250000</v>
      </c>
      <c r="H40" s="266">
        <v>0.2</v>
      </c>
      <c r="I40" s="153"/>
      <c r="J40" s="153"/>
      <c r="L40" s="196"/>
      <c r="M40" s="153"/>
      <c r="N40" s="153"/>
      <c r="O40" s="153"/>
      <c r="P40" s="153"/>
      <c r="Q40" s="153"/>
      <c r="R40" s="206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</row>
    <row r="41" spans="1:31" ht="12.75">
      <c r="A41" s="193">
        <f t="shared" si="2"/>
        <v>36</v>
      </c>
      <c r="C41" s="268">
        <v>37509</v>
      </c>
      <c r="D41" s="269" t="s">
        <v>65</v>
      </c>
      <c r="E41" s="115" t="s">
        <v>66</v>
      </c>
      <c r="F41" s="161">
        <f t="shared" si="1"/>
        <v>50000</v>
      </c>
      <c r="G41" s="153">
        <v>250000</v>
      </c>
      <c r="H41" s="266">
        <v>0.2</v>
      </c>
      <c r="I41" s="153"/>
      <c r="J41" s="153"/>
      <c r="L41" s="196"/>
      <c r="M41" s="153"/>
      <c r="N41" s="153"/>
      <c r="O41" s="153"/>
      <c r="P41" s="153"/>
      <c r="Q41" s="153"/>
      <c r="R41" s="206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1:31" ht="12.75">
      <c r="A42" s="193">
        <f t="shared" si="2"/>
        <v>37</v>
      </c>
      <c r="C42" s="268">
        <v>37509</v>
      </c>
      <c r="D42" s="269" t="s">
        <v>65</v>
      </c>
      <c r="E42" s="115" t="s">
        <v>66</v>
      </c>
      <c r="F42" s="161">
        <f t="shared" si="1"/>
        <v>50000</v>
      </c>
      <c r="G42" s="153">
        <v>250000</v>
      </c>
      <c r="H42" s="266">
        <v>0.2</v>
      </c>
      <c r="I42" s="153"/>
      <c r="J42" s="153"/>
      <c r="L42" s="196"/>
      <c r="M42" s="153"/>
      <c r="N42" s="153"/>
      <c r="O42" s="153"/>
      <c r="P42" s="153"/>
      <c r="Q42" s="153"/>
      <c r="R42" s="206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1:31" ht="12.75">
      <c r="A43" s="193">
        <f t="shared" si="2"/>
        <v>38</v>
      </c>
      <c r="C43" s="268">
        <v>37509</v>
      </c>
      <c r="D43" s="269" t="s">
        <v>65</v>
      </c>
      <c r="E43" s="115" t="s">
        <v>66</v>
      </c>
      <c r="F43" s="161">
        <f t="shared" si="1"/>
        <v>50000</v>
      </c>
      <c r="G43" s="153">
        <v>250000</v>
      </c>
      <c r="H43" s="266">
        <v>0.2</v>
      </c>
      <c r="I43" s="153"/>
      <c r="J43" s="153"/>
      <c r="L43" s="196"/>
      <c r="M43" s="153"/>
      <c r="N43" s="153"/>
      <c r="O43" s="153"/>
      <c r="P43" s="153"/>
      <c r="Q43" s="153"/>
      <c r="R43" s="206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12.75">
      <c r="A44" s="193">
        <f t="shared" si="2"/>
        <v>39</v>
      </c>
      <c r="C44" s="268">
        <v>37509</v>
      </c>
      <c r="D44" s="269" t="s">
        <v>65</v>
      </c>
      <c r="E44" s="115" t="s">
        <v>66</v>
      </c>
      <c r="F44" s="161">
        <f t="shared" si="1"/>
        <v>50000</v>
      </c>
      <c r="G44" s="153">
        <v>250000</v>
      </c>
      <c r="H44" s="266">
        <v>0.2</v>
      </c>
      <c r="I44" s="153"/>
      <c r="J44" s="153"/>
      <c r="L44" s="196"/>
      <c r="M44" s="153"/>
      <c r="N44" s="153"/>
      <c r="O44" s="153"/>
      <c r="P44" s="153"/>
      <c r="Q44" s="153"/>
      <c r="R44" s="206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</row>
    <row r="45" spans="1:31" ht="12.75">
      <c r="A45" s="193">
        <f t="shared" si="2"/>
        <v>40</v>
      </c>
      <c r="C45" s="268">
        <v>37509</v>
      </c>
      <c r="D45" s="269" t="s">
        <v>65</v>
      </c>
      <c r="E45" s="115" t="s">
        <v>66</v>
      </c>
      <c r="F45" s="161">
        <f t="shared" si="1"/>
        <v>50000</v>
      </c>
      <c r="G45" s="153">
        <v>250000</v>
      </c>
      <c r="H45" s="266">
        <v>0.2</v>
      </c>
      <c r="I45" s="153"/>
      <c r="J45" s="153"/>
      <c r="L45" s="196"/>
      <c r="M45" s="153"/>
      <c r="N45" s="153"/>
      <c r="O45" s="153"/>
      <c r="P45" s="153"/>
      <c r="Q45" s="153"/>
      <c r="R45" s="206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</row>
    <row r="46" spans="1:31" ht="12.75">
      <c r="A46" s="193">
        <f t="shared" si="2"/>
        <v>41</v>
      </c>
      <c r="C46" s="268">
        <v>37509</v>
      </c>
      <c r="D46" s="269" t="s">
        <v>65</v>
      </c>
      <c r="E46" s="115" t="s">
        <v>66</v>
      </c>
      <c r="F46" s="161">
        <f t="shared" si="1"/>
        <v>50000</v>
      </c>
      <c r="G46" s="153">
        <v>250000</v>
      </c>
      <c r="H46" s="266">
        <v>0.2</v>
      </c>
      <c r="I46" s="153"/>
      <c r="J46" s="153"/>
      <c r="L46" s="196"/>
      <c r="M46" s="153"/>
      <c r="N46" s="153"/>
      <c r="O46" s="153"/>
      <c r="P46" s="153"/>
      <c r="Q46" s="153"/>
      <c r="R46" s="206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</row>
    <row r="47" spans="1:31" ht="12.75">
      <c r="A47" s="193">
        <f t="shared" si="2"/>
        <v>42</v>
      </c>
      <c r="C47" s="268">
        <v>37509</v>
      </c>
      <c r="D47" s="269" t="s">
        <v>65</v>
      </c>
      <c r="E47" s="115" t="s">
        <v>66</v>
      </c>
      <c r="F47" s="161">
        <f t="shared" si="1"/>
        <v>50000</v>
      </c>
      <c r="G47" s="153">
        <v>250000</v>
      </c>
      <c r="H47" s="266">
        <v>0.2</v>
      </c>
      <c r="I47" s="153"/>
      <c r="J47" s="153"/>
      <c r="L47" s="196"/>
      <c r="M47" s="153"/>
      <c r="N47" s="153"/>
      <c r="O47" s="153"/>
      <c r="P47" s="153"/>
      <c r="Q47" s="153"/>
      <c r="R47" s="206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</row>
    <row r="48" spans="1:31" ht="12.75">
      <c r="A48" s="193">
        <f t="shared" si="2"/>
        <v>43</v>
      </c>
      <c r="C48" s="268">
        <v>37509</v>
      </c>
      <c r="D48" s="269" t="s">
        <v>65</v>
      </c>
      <c r="E48" s="115" t="s">
        <v>66</v>
      </c>
      <c r="F48" s="161">
        <f t="shared" si="1"/>
        <v>50000</v>
      </c>
      <c r="G48" s="153">
        <v>250000</v>
      </c>
      <c r="H48" s="266">
        <v>0.2</v>
      </c>
      <c r="I48" s="153"/>
      <c r="J48" s="153"/>
      <c r="L48" s="196"/>
      <c r="M48" s="153"/>
      <c r="N48" s="153"/>
      <c r="O48" s="153"/>
      <c r="P48" s="153"/>
      <c r="Q48" s="153"/>
      <c r="R48" s="206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</row>
    <row r="49" spans="1:31" ht="12.75">
      <c r="A49" s="193">
        <f t="shared" si="2"/>
        <v>44</v>
      </c>
      <c r="C49" s="268">
        <v>37509</v>
      </c>
      <c r="D49" s="269" t="s">
        <v>65</v>
      </c>
      <c r="E49" s="115" t="s">
        <v>66</v>
      </c>
      <c r="F49" s="161">
        <f t="shared" si="1"/>
        <v>50000</v>
      </c>
      <c r="G49" s="153">
        <v>250000</v>
      </c>
      <c r="H49" s="266">
        <v>0.2</v>
      </c>
      <c r="I49" s="153"/>
      <c r="J49" s="153"/>
      <c r="L49" s="196"/>
      <c r="M49" s="153"/>
      <c r="N49" s="153"/>
      <c r="O49" s="153"/>
      <c r="P49" s="153"/>
      <c r="Q49" s="153"/>
      <c r="R49" s="206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</row>
    <row r="50" spans="1:31" ht="12.75">
      <c r="A50" s="193">
        <f t="shared" si="2"/>
        <v>45</v>
      </c>
      <c r="C50" s="268">
        <v>37509</v>
      </c>
      <c r="D50" s="269" t="s">
        <v>65</v>
      </c>
      <c r="E50" s="115" t="s">
        <v>66</v>
      </c>
      <c r="F50" s="161">
        <f t="shared" si="1"/>
        <v>50000</v>
      </c>
      <c r="G50" s="153">
        <v>250000</v>
      </c>
      <c r="H50" s="266">
        <v>0.2</v>
      </c>
      <c r="I50" s="153"/>
      <c r="J50" s="153"/>
      <c r="L50" s="196"/>
      <c r="M50" s="153"/>
      <c r="N50" s="153"/>
      <c r="O50" s="153"/>
      <c r="P50" s="153"/>
      <c r="Q50" s="153"/>
      <c r="R50" s="206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</row>
    <row r="51" spans="1:31" ht="12.75">
      <c r="A51" s="193">
        <f t="shared" si="2"/>
        <v>46</v>
      </c>
      <c r="C51" s="268">
        <v>37509</v>
      </c>
      <c r="D51" s="269" t="s">
        <v>65</v>
      </c>
      <c r="E51" s="115" t="s">
        <v>66</v>
      </c>
      <c r="F51" s="161">
        <f t="shared" si="1"/>
        <v>50000</v>
      </c>
      <c r="G51" s="153">
        <v>250000</v>
      </c>
      <c r="H51" s="266">
        <v>0.2</v>
      </c>
      <c r="I51" s="153"/>
      <c r="J51" s="153"/>
      <c r="L51" s="196"/>
      <c r="M51" s="153"/>
      <c r="N51" s="153"/>
      <c r="O51" s="153"/>
      <c r="P51" s="153"/>
      <c r="Q51" s="153"/>
      <c r="R51" s="206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</row>
    <row r="52" spans="1:31" ht="12.75">
      <c r="A52" s="193">
        <f t="shared" si="2"/>
        <v>47</v>
      </c>
      <c r="C52" s="268">
        <v>37509</v>
      </c>
      <c r="D52" s="269" t="s">
        <v>65</v>
      </c>
      <c r="E52" s="115" t="s">
        <v>66</v>
      </c>
      <c r="F52" s="161">
        <f t="shared" si="1"/>
        <v>50000</v>
      </c>
      <c r="G52" s="153">
        <v>250000</v>
      </c>
      <c r="H52" s="266">
        <v>0.2</v>
      </c>
      <c r="I52" s="153"/>
      <c r="J52" s="153"/>
      <c r="L52" s="196"/>
      <c r="M52" s="153"/>
      <c r="N52" s="153"/>
      <c r="O52" s="153"/>
      <c r="P52" s="153"/>
      <c r="Q52" s="153"/>
      <c r="R52" s="206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</row>
    <row r="53" spans="1:31" ht="12.75">
      <c r="A53" s="193">
        <f t="shared" si="2"/>
        <v>48</v>
      </c>
      <c r="C53" s="268">
        <v>37509</v>
      </c>
      <c r="D53" s="269" t="s">
        <v>65</v>
      </c>
      <c r="E53" s="115" t="s">
        <v>66</v>
      </c>
      <c r="F53" s="161">
        <f t="shared" si="1"/>
        <v>50000</v>
      </c>
      <c r="G53" s="153">
        <v>250000</v>
      </c>
      <c r="H53" s="266">
        <v>0.2</v>
      </c>
      <c r="I53" s="153"/>
      <c r="J53" s="153"/>
      <c r="L53" s="196"/>
      <c r="M53" s="153"/>
      <c r="N53" s="153"/>
      <c r="O53" s="153"/>
      <c r="P53" s="153"/>
      <c r="Q53" s="153"/>
      <c r="R53" s="206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</row>
    <row r="54" spans="1:31" ht="12.75">
      <c r="A54" s="193">
        <f t="shared" si="2"/>
        <v>49</v>
      </c>
      <c r="C54" s="268">
        <v>37509</v>
      </c>
      <c r="D54" s="269" t="s">
        <v>65</v>
      </c>
      <c r="E54" s="115" t="s">
        <v>66</v>
      </c>
      <c r="F54" s="161">
        <f t="shared" si="1"/>
        <v>50000</v>
      </c>
      <c r="G54" s="153">
        <v>250000</v>
      </c>
      <c r="H54" s="266">
        <v>0.2</v>
      </c>
      <c r="I54" s="153"/>
      <c r="J54" s="153"/>
      <c r="L54" s="196"/>
      <c r="M54" s="153"/>
      <c r="N54" s="153"/>
      <c r="O54" s="153"/>
      <c r="P54" s="153"/>
      <c r="Q54" s="153"/>
      <c r="R54" s="206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</row>
    <row r="55" spans="1:31" ht="12.75">
      <c r="A55" s="193">
        <f t="shared" si="2"/>
        <v>50</v>
      </c>
      <c r="C55" s="268">
        <v>37509</v>
      </c>
      <c r="D55" s="269" t="s">
        <v>65</v>
      </c>
      <c r="E55" s="115" t="s">
        <v>66</v>
      </c>
      <c r="F55" s="161">
        <f t="shared" si="1"/>
        <v>50000</v>
      </c>
      <c r="G55" s="153">
        <v>250000</v>
      </c>
      <c r="H55" s="266">
        <v>0.2</v>
      </c>
      <c r="I55" s="153"/>
      <c r="J55" s="153"/>
      <c r="L55" s="196"/>
      <c r="M55" s="153"/>
      <c r="N55" s="153"/>
      <c r="O55" s="153"/>
      <c r="P55" s="153"/>
      <c r="Q55" s="153"/>
      <c r="R55" s="206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</row>
    <row r="56" spans="1:31" ht="12.75">
      <c r="A56" s="193">
        <f t="shared" si="2"/>
        <v>51</v>
      </c>
      <c r="C56" s="268">
        <v>37509</v>
      </c>
      <c r="D56" s="269" t="s">
        <v>65</v>
      </c>
      <c r="E56" s="115" t="s">
        <v>66</v>
      </c>
      <c r="F56" s="161">
        <f t="shared" si="1"/>
        <v>50000</v>
      </c>
      <c r="G56" s="153">
        <v>250000</v>
      </c>
      <c r="H56" s="266">
        <v>0.2</v>
      </c>
      <c r="I56" s="153"/>
      <c r="J56" s="153"/>
      <c r="L56" s="196"/>
      <c r="M56" s="153"/>
      <c r="N56" s="153"/>
      <c r="O56" s="153"/>
      <c r="P56" s="153"/>
      <c r="Q56" s="153"/>
      <c r="R56" s="206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</row>
    <row r="57" spans="1:31" ht="12.75">
      <c r="A57" s="193">
        <f t="shared" si="2"/>
        <v>52</v>
      </c>
      <c r="C57" s="268">
        <v>37509</v>
      </c>
      <c r="D57" s="269" t="s">
        <v>65</v>
      </c>
      <c r="E57" s="115" t="s">
        <v>66</v>
      </c>
      <c r="F57" s="161">
        <f t="shared" si="1"/>
        <v>50000</v>
      </c>
      <c r="G57" s="153">
        <v>250000</v>
      </c>
      <c r="H57" s="266">
        <v>0.2</v>
      </c>
      <c r="I57" s="153"/>
      <c r="J57" s="153"/>
      <c r="L57" s="196"/>
      <c r="M57" s="153"/>
      <c r="N57" s="153"/>
      <c r="O57" s="153"/>
      <c r="P57" s="153"/>
      <c r="Q57" s="153"/>
      <c r="R57" s="206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</row>
    <row r="58" spans="1:31" ht="12.75">
      <c r="A58" s="193">
        <f t="shared" si="2"/>
        <v>53</v>
      </c>
      <c r="C58" s="268">
        <v>37509</v>
      </c>
      <c r="D58" s="269" t="s">
        <v>65</v>
      </c>
      <c r="E58" s="115" t="s">
        <v>66</v>
      </c>
      <c r="F58" s="161">
        <f t="shared" si="1"/>
        <v>50000</v>
      </c>
      <c r="G58" s="153">
        <v>250000</v>
      </c>
      <c r="H58" s="266">
        <v>0.2</v>
      </c>
      <c r="I58" s="153"/>
      <c r="J58" s="153"/>
      <c r="L58" s="196"/>
      <c r="M58" s="153"/>
      <c r="N58" s="153"/>
      <c r="O58" s="153"/>
      <c r="P58" s="153"/>
      <c r="Q58" s="153"/>
      <c r="R58" s="206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</row>
    <row r="59" spans="1:31" ht="12.75">
      <c r="A59" s="193">
        <f t="shared" si="2"/>
        <v>54</v>
      </c>
      <c r="C59" s="268">
        <v>37509</v>
      </c>
      <c r="D59" s="269" t="s">
        <v>65</v>
      </c>
      <c r="E59" s="115" t="s">
        <v>66</v>
      </c>
      <c r="F59" s="161">
        <f t="shared" si="1"/>
        <v>50000</v>
      </c>
      <c r="G59" s="153">
        <v>250000</v>
      </c>
      <c r="H59" s="266">
        <v>0.2</v>
      </c>
      <c r="I59" s="153"/>
      <c r="J59" s="153"/>
      <c r="L59" s="196"/>
      <c r="M59" s="153"/>
      <c r="N59" s="153"/>
      <c r="O59" s="153"/>
      <c r="P59" s="153"/>
      <c r="Q59" s="153"/>
      <c r="R59" s="206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</row>
    <row r="60" spans="1:31" ht="12.75">
      <c r="A60" s="193">
        <f t="shared" si="2"/>
        <v>55</v>
      </c>
      <c r="C60" s="268">
        <v>37509</v>
      </c>
      <c r="D60" s="269" t="s">
        <v>65</v>
      </c>
      <c r="E60" s="115" t="s">
        <v>66</v>
      </c>
      <c r="F60" s="161">
        <f t="shared" si="1"/>
        <v>50000</v>
      </c>
      <c r="G60" s="153">
        <v>250000</v>
      </c>
      <c r="H60" s="266">
        <v>0.2</v>
      </c>
      <c r="I60" s="153"/>
      <c r="J60" s="153"/>
      <c r="L60" s="196"/>
      <c r="M60" s="153"/>
      <c r="N60" s="153"/>
      <c r="O60" s="153"/>
      <c r="P60" s="153"/>
      <c r="Q60" s="153"/>
      <c r="R60" s="206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1" spans="1:31" ht="12.75">
      <c r="A61" s="193">
        <f t="shared" si="2"/>
        <v>56</v>
      </c>
      <c r="C61" s="268">
        <v>37509</v>
      </c>
      <c r="D61" s="269" t="s">
        <v>65</v>
      </c>
      <c r="E61" s="115" t="s">
        <v>66</v>
      </c>
      <c r="F61" s="161">
        <f t="shared" si="1"/>
        <v>50000</v>
      </c>
      <c r="G61" s="153">
        <v>250000</v>
      </c>
      <c r="H61" s="266">
        <v>0.2</v>
      </c>
      <c r="I61" s="153"/>
      <c r="J61" s="153"/>
      <c r="L61" s="196"/>
      <c r="M61" s="153"/>
      <c r="N61" s="153"/>
      <c r="O61" s="153"/>
      <c r="P61" s="153"/>
      <c r="Q61" s="153"/>
      <c r="R61" s="206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</row>
    <row r="62" spans="1:31" ht="12.75">
      <c r="A62" s="193">
        <f t="shared" si="2"/>
        <v>57</v>
      </c>
      <c r="C62" s="268">
        <v>37509</v>
      </c>
      <c r="D62" s="269" t="s">
        <v>65</v>
      </c>
      <c r="E62" s="115" t="s">
        <v>66</v>
      </c>
      <c r="F62" s="161">
        <f t="shared" si="1"/>
        <v>50000</v>
      </c>
      <c r="G62" s="153">
        <v>250000</v>
      </c>
      <c r="H62" s="266">
        <v>0.2</v>
      </c>
      <c r="I62" s="153"/>
      <c r="J62" s="153"/>
      <c r="L62" s="196"/>
      <c r="M62" s="153"/>
      <c r="N62" s="153"/>
      <c r="O62" s="153"/>
      <c r="P62" s="153"/>
      <c r="Q62" s="153"/>
      <c r="R62" s="206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</row>
    <row r="63" spans="1:31" ht="12.75">
      <c r="A63" s="193">
        <f t="shared" si="2"/>
        <v>58</v>
      </c>
      <c r="C63" s="268">
        <v>37509</v>
      </c>
      <c r="D63" s="269" t="s">
        <v>65</v>
      </c>
      <c r="E63" s="115" t="s">
        <v>66</v>
      </c>
      <c r="F63" s="161">
        <f t="shared" si="1"/>
        <v>50000</v>
      </c>
      <c r="G63" s="153">
        <v>250000</v>
      </c>
      <c r="H63" s="266">
        <v>0.2</v>
      </c>
      <c r="I63" s="153"/>
      <c r="J63" s="153"/>
      <c r="L63" s="196"/>
      <c r="M63" s="153"/>
      <c r="N63" s="153"/>
      <c r="O63" s="153"/>
      <c r="P63" s="153"/>
      <c r="Q63" s="153"/>
      <c r="R63" s="206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</row>
    <row r="64" spans="1:31" ht="12.75">
      <c r="A64" s="193">
        <f t="shared" si="2"/>
        <v>59</v>
      </c>
      <c r="C64" s="268">
        <v>37509</v>
      </c>
      <c r="D64" s="269" t="s">
        <v>65</v>
      </c>
      <c r="E64" s="115" t="s">
        <v>66</v>
      </c>
      <c r="F64" s="161">
        <f t="shared" si="1"/>
        <v>50000</v>
      </c>
      <c r="G64" s="153">
        <v>250000</v>
      </c>
      <c r="H64" s="266">
        <v>0.2</v>
      </c>
      <c r="I64" s="153"/>
      <c r="J64" s="153"/>
      <c r="L64" s="196"/>
      <c r="M64" s="153"/>
      <c r="N64" s="153"/>
      <c r="O64" s="153"/>
      <c r="P64" s="153"/>
      <c r="Q64" s="153"/>
      <c r="R64" s="206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</row>
    <row r="65" spans="1:31" ht="12.75">
      <c r="A65" s="193">
        <f t="shared" si="2"/>
        <v>60</v>
      </c>
      <c r="C65" s="268">
        <v>37509</v>
      </c>
      <c r="D65" s="269" t="s">
        <v>65</v>
      </c>
      <c r="E65" s="115" t="s">
        <v>66</v>
      </c>
      <c r="F65" s="161">
        <f t="shared" si="1"/>
        <v>15000</v>
      </c>
      <c r="G65" s="153">
        <v>75000</v>
      </c>
      <c r="H65" s="266">
        <v>0.2</v>
      </c>
      <c r="I65" s="153"/>
      <c r="J65" s="153"/>
      <c r="L65" s="196"/>
      <c r="M65" s="153"/>
      <c r="N65" s="153"/>
      <c r="O65" s="153"/>
      <c r="P65" s="153"/>
      <c r="Q65" s="153"/>
      <c r="R65" s="206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</row>
    <row r="66" spans="1:31" ht="12.75">
      <c r="A66" s="193">
        <f t="shared" si="2"/>
        <v>61</v>
      </c>
      <c r="C66" s="268">
        <v>37509</v>
      </c>
      <c r="D66" s="269" t="s">
        <v>65</v>
      </c>
      <c r="E66" s="115" t="s">
        <v>66</v>
      </c>
      <c r="F66" s="161">
        <f t="shared" si="1"/>
        <v>20000</v>
      </c>
      <c r="G66" s="153">
        <v>100000</v>
      </c>
      <c r="H66" s="266">
        <v>0.2</v>
      </c>
      <c r="I66" s="153"/>
      <c r="J66" s="153"/>
      <c r="L66" s="196"/>
      <c r="M66" s="153"/>
      <c r="N66" s="153"/>
      <c r="O66" s="153"/>
      <c r="P66" s="153"/>
      <c r="Q66" s="153"/>
      <c r="R66" s="206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</row>
    <row r="67" spans="1:31" ht="12.75">
      <c r="A67" s="193">
        <f t="shared" si="2"/>
        <v>62</v>
      </c>
      <c r="C67" s="268">
        <v>37509</v>
      </c>
      <c r="D67" s="269" t="s">
        <v>65</v>
      </c>
      <c r="E67" s="115" t="s">
        <v>66</v>
      </c>
      <c r="F67" s="161">
        <f t="shared" si="1"/>
        <v>20000</v>
      </c>
      <c r="G67" s="153">
        <v>100000</v>
      </c>
      <c r="H67" s="266">
        <v>0.2</v>
      </c>
      <c r="I67" s="153"/>
      <c r="J67" s="153"/>
      <c r="K67" s="153"/>
      <c r="L67" s="153"/>
      <c r="M67" s="153"/>
      <c r="N67" s="153"/>
      <c r="O67" s="153"/>
      <c r="P67" s="153"/>
      <c r="Q67" s="153"/>
      <c r="R67" s="206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</row>
    <row r="68" spans="1:31" ht="12.75">
      <c r="A68" s="193">
        <f t="shared" si="2"/>
        <v>63</v>
      </c>
      <c r="C68" s="268">
        <v>37509</v>
      </c>
      <c r="D68" s="269" t="s">
        <v>65</v>
      </c>
      <c r="E68" s="115" t="s">
        <v>66</v>
      </c>
      <c r="F68" s="161">
        <f t="shared" si="1"/>
        <v>9000</v>
      </c>
      <c r="G68" s="153">
        <v>30000</v>
      </c>
      <c r="H68" s="266">
        <v>0.3</v>
      </c>
      <c r="I68" s="153"/>
      <c r="J68" s="153"/>
      <c r="K68" s="153"/>
      <c r="L68" s="153"/>
      <c r="M68" s="153"/>
      <c r="N68" s="153"/>
      <c r="O68" s="153"/>
      <c r="P68" s="153"/>
      <c r="Q68" s="153"/>
      <c r="R68" s="206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</row>
    <row r="69" spans="1:31" ht="12.75">
      <c r="A69" s="193">
        <f t="shared" si="2"/>
        <v>64</v>
      </c>
      <c r="C69" s="268">
        <v>37509</v>
      </c>
      <c r="D69" s="269" t="s">
        <v>65</v>
      </c>
      <c r="E69" s="115" t="s">
        <v>66</v>
      </c>
      <c r="F69" s="161">
        <f t="shared" si="1"/>
        <v>0</v>
      </c>
      <c r="G69" s="153">
        <v>0</v>
      </c>
      <c r="H69" s="266">
        <v>0.1</v>
      </c>
      <c r="I69" s="153"/>
      <c r="J69" s="153"/>
      <c r="L69" s="196"/>
      <c r="M69" s="153"/>
      <c r="N69" s="153"/>
      <c r="O69" s="153"/>
      <c r="P69" s="153"/>
      <c r="Q69" s="153"/>
      <c r="R69" s="206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</row>
    <row r="70" spans="1:31" ht="12.75">
      <c r="A70" s="193">
        <f aca="true" t="shared" si="3" ref="A70:A99">A69+1</f>
        <v>65</v>
      </c>
      <c r="C70" s="268">
        <v>37509</v>
      </c>
      <c r="D70" s="269" t="s">
        <v>65</v>
      </c>
      <c r="E70" s="115" t="s">
        <v>66</v>
      </c>
      <c r="F70" s="161">
        <f t="shared" si="1"/>
        <v>45000</v>
      </c>
      <c r="G70" s="153">
        <v>150000</v>
      </c>
      <c r="H70" s="266">
        <v>0.3</v>
      </c>
      <c r="I70" s="153"/>
      <c r="J70" s="153"/>
      <c r="L70" s="196"/>
      <c r="M70" s="153"/>
      <c r="N70" s="153"/>
      <c r="O70" s="153"/>
      <c r="P70" s="153"/>
      <c r="Q70" s="153"/>
      <c r="R70" s="206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</row>
    <row r="71" spans="1:31" ht="12.75">
      <c r="A71" s="193">
        <f t="shared" si="3"/>
        <v>66</v>
      </c>
      <c r="C71" s="268">
        <v>37509</v>
      </c>
      <c r="D71" s="269" t="s">
        <v>65</v>
      </c>
      <c r="E71" s="115" t="s">
        <v>66</v>
      </c>
      <c r="F71" s="161">
        <f aca="true" t="shared" si="4" ref="F71:F99">G71*H71</f>
        <v>45000</v>
      </c>
      <c r="G71" s="153">
        <v>150000</v>
      </c>
      <c r="H71" s="266">
        <v>0.3</v>
      </c>
      <c r="I71" s="153"/>
      <c r="J71" s="153"/>
      <c r="L71" s="196"/>
      <c r="M71" s="153"/>
      <c r="N71" s="153"/>
      <c r="O71" s="153"/>
      <c r="P71" s="153"/>
      <c r="Q71" s="153"/>
      <c r="R71" s="206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</row>
    <row r="72" spans="1:31" ht="12.75">
      <c r="A72" s="193">
        <f t="shared" si="3"/>
        <v>67</v>
      </c>
      <c r="C72" s="268">
        <v>37509</v>
      </c>
      <c r="D72" s="269" t="s">
        <v>65</v>
      </c>
      <c r="E72" s="115" t="s">
        <v>66</v>
      </c>
      <c r="F72" s="161">
        <f t="shared" si="4"/>
        <v>30000</v>
      </c>
      <c r="G72" s="153">
        <v>150000</v>
      </c>
      <c r="H72" s="266">
        <v>0.2</v>
      </c>
      <c r="I72" s="153"/>
      <c r="J72" s="153"/>
      <c r="L72" s="196"/>
      <c r="M72" s="153"/>
      <c r="N72" s="153"/>
      <c r="O72" s="153"/>
      <c r="P72" s="153"/>
      <c r="Q72" s="153"/>
      <c r="R72" s="206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</row>
    <row r="73" spans="1:31" ht="12.75">
      <c r="A73" s="193">
        <f t="shared" si="3"/>
        <v>68</v>
      </c>
      <c r="C73" s="268">
        <v>37509</v>
      </c>
      <c r="D73" s="269" t="s">
        <v>65</v>
      </c>
      <c r="E73" s="115" t="s">
        <v>66</v>
      </c>
      <c r="F73" s="161">
        <f t="shared" si="4"/>
        <v>45000</v>
      </c>
      <c r="G73" s="153">
        <v>150000</v>
      </c>
      <c r="H73" s="266">
        <v>0.3</v>
      </c>
      <c r="I73" s="153"/>
      <c r="J73" s="153"/>
      <c r="L73" s="196"/>
      <c r="M73" s="153"/>
      <c r="N73" s="153"/>
      <c r="O73" s="153"/>
      <c r="P73" s="153"/>
      <c r="Q73" s="153"/>
      <c r="R73" s="206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</row>
    <row r="74" spans="1:31" ht="12.75">
      <c r="A74" s="193">
        <f t="shared" si="3"/>
        <v>69</v>
      </c>
      <c r="C74" s="268">
        <v>37509</v>
      </c>
      <c r="D74" s="269" t="s">
        <v>65</v>
      </c>
      <c r="E74" s="115" t="s">
        <v>66</v>
      </c>
      <c r="F74" s="161">
        <f t="shared" si="4"/>
        <v>45000</v>
      </c>
      <c r="G74" s="153">
        <v>150000</v>
      </c>
      <c r="H74" s="266">
        <v>0.3</v>
      </c>
      <c r="I74" s="153"/>
      <c r="J74" s="153"/>
      <c r="L74" s="196"/>
      <c r="M74" s="153"/>
      <c r="N74" s="153"/>
      <c r="O74" s="153"/>
      <c r="P74" s="153"/>
      <c r="Q74" s="153"/>
      <c r="R74" s="206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</row>
    <row r="75" spans="1:31" ht="12.75">
      <c r="A75" s="193">
        <f t="shared" si="3"/>
        <v>70</v>
      </c>
      <c r="C75" s="268">
        <v>37509</v>
      </c>
      <c r="D75" s="269" t="s">
        <v>65</v>
      </c>
      <c r="E75" s="115" t="s">
        <v>66</v>
      </c>
      <c r="F75" s="161">
        <f t="shared" si="4"/>
        <v>30000</v>
      </c>
      <c r="G75" s="153">
        <v>150000</v>
      </c>
      <c r="H75" s="266">
        <v>0.2</v>
      </c>
      <c r="I75" s="153"/>
      <c r="J75" s="153"/>
      <c r="L75" s="196"/>
      <c r="M75" s="153"/>
      <c r="N75" s="153"/>
      <c r="O75" s="153"/>
      <c r="P75" s="153"/>
      <c r="Q75" s="153"/>
      <c r="R75" s="206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1:31" ht="12.75">
      <c r="A76" s="193">
        <f t="shared" si="3"/>
        <v>71</v>
      </c>
      <c r="C76" s="268">
        <v>37509</v>
      </c>
      <c r="D76" s="269" t="s">
        <v>65</v>
      </c>
      <c r="E76" s="115" t="s">
        <v>66</v>
      </c>
      <c r="F76" s="161">
        <f t="shared" si="4"/>
        <v>30000</v>
      </c>
      <c r="G76" s="153">
        <v>150000</v>
      </c>
      <c r="H76" s="266">
        <v>0.2</v>
      </c>
      <c r="I76" s="153"/>
      <c r="J76" s="153"/>
      <c r="L76" s="196"/>
      <c r="M76" s="153"/>
      <c r="N76" s="153"/>
      <c r="O76" s="153"/>
      <c r="P76" s="153"/>
      <c r="Q76" s="153"/>
      <c r="R76" s="206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1:31" ht="12.75">
      <c r="A77" s="193">
        <f t="shared" si="3"/>
        <v>72</v>
      </c>
      <c r="C77" s="268">
        <v>37509</v>
      </c>
      <c r="D77" s="269" t="s">
        <v>65</v>
      </c>
      <c r="E77" s="115" t="s">
        <v>66</v>
      </c>
      <c r="F77" s="161">
        <f t="shared" si="4"/>
        <v>45000</v>
      </c>
      <c r="G77" s="153">
        <v>150000</v>
      </c>
      <c r="H77" s="266">
        <v>0.3</v>
      </c>
      <c r="I77" s="153"/>
      <c r="J77" s="153"/>
      <c r="L77" s="196"/>
      <c r="M77" s="153"/>
      <c r="N77" s="153"/>
      <c r="O77" s="153"/>
      <c r="P77" s="153"/>
      <c r="Q77" s="153"/>
      <c r="R77" s="206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</row>
    <row r="78" spans="1:31" ht="12.75">
      <c r="A78" s="193">
        <f t="shared" si="3"/>
        <v>73</v>
      </c>
      <c r="C78" s="268">
        <v>37509</v>
      </c>
      <c r="D78" s="269" t="s">
        <v>65</v>
      </c>
      <c r="E78" s="115" t="s">
        <v>66</v>
      </c>
      <c r="F78" s="161">
        <f t="shared" si="4"/>
        <v>30000</v>
      </c>
      <c r="G78" s="153">
        <v>150000</v>
      </c>
      <c r="H78" s="266">
        <v>0.2</v>
      </c>
      <c r="I78" s="153"/>
      <c r="J78" s="153"/>
      <c r="L78" s="196"/>
      <c r="M78" s="153"/>
      <c r="N78" s="153"/>
      <c r="O78" s="153"/>
      <c r="P78" s="153"/>
      <c r="Q78" s="153"/>
      <c r="R78" s="206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1:31" ht="12.75">
      <c r="A79" s="193">
        <f t="shared" si="3"/>
        <v>74</v>
      </c>
      <c r="C79" s="268">
        <v>37509</v>
      </c>
      <c r="D79" s="269" t="s">
        <v>65</v>
      </c>
      <c r="E79" s="115" t="s">
        <v>66</v>
      </c>
      <c r="F79" s="161">
        <f t="shared" si="4"/>
        <v>30000</v>
      </c>
      <c r="G79" s="153">
        <v>150000</v>
      </c>
      <c r="H79" s="266">
        <v>0.2</v>
      </c>
      <c r="I79" s="153"/>
      <c r="J79" s="153"/>
      <c r="L79" s="196"/>
      <c r="M79" s="153"/>
      <c r="N79" s="153"/>
      <c r="O79" s="153"/>
      <c r="P79" s="153"/>
      <c r="Q79" s="153"/>
      <c r="R79" s="206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31" ht="12.75">
      <c r="A80" s="193">
        <f t="shared" si="3"/>
        <v>75</v>
      </c>
      <c r="C80" s="268">
        <v>37509</v>
      </c>
      <c r="D80" s="269" t="s">
        <v>65</v>
      </c>
      <c r="E80" s="115" t="s">
        <v>66</v>
      </c>
      <c r="F80" s="161">
        <f t="shared" si="4"/>
        <v>30000</v>
      </c>
      <c r="G80" s="153">
        <v>150000</v>
      </c>
      <c r="H80" s="266">
        <v>0.2</v>
      </c>
      <c r="I80" s="153"/>
      <c r="J80" s="153"/>
      <c r="L80" s="196"/>
      <c r="M80" s="153"/>
      <c r="N80" s="153"/>
      <c r="O80" s="153"/>
      <c r="P80" s="153"/>
      <c r="Q80" s="153"/>
      <c r="R80" s="206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31" ht="12.75">
      <c r="A81" s="193">
        <f t="shared" si="3"/>
        <v>76</v>
      </c>
      <c r="C81" s="268">
        <v>37509</v>
      </c>
      <c r="D81" s="269" t="s">
        <v>65</v>
      </c>
      <c r="E81" s="115" t="s">
        <v>66</v>
      </c>
      <c r="F81" s="161">
        <f t="shared" si="4"/>
        <v>30000</v>
      </c>
      <c r="G81" s="153">
        <v>150000</v>
      </c>
      <c r="H81" s="266">
        <v>0.2</v>
      </c>
      <c r="I81" s="153"/>
      <c r="J81" s="153"/>
      <c r="L81" s="196"/>
      <c r="M81" s="153"/>
      <c r="N81" s="153"/>
      <c r="O81" s="153"/>
      <c r="P81" s="153"/>
      <c r="Q81" s="153"/>
      <c r="R81" s="206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</row>
    <row r="82" spans="1:31" ht="12.75">
      <c r="A82" s="193">
        <f t="shared" si="3"/>
        <v>77</v>
      </c>
      <c r="C82" s="268">
        <v>37509</v>
      </c>
      <c r="D82" s="269" t="s">
        <v>65</v>
      </c>
      <c r="E82" s="115" t="s">
        <v>66</v>
      </c>
      <c r="F82" s="161">
        <f t="shared" si="4"/>
        <v>30000</v>
      </c>
      <c r="G82" s="153">
        <v>150000</v>
      </c>
      <c r="H82" s="266">
        <v>0.2</v>
      </c>
      <c r="I82" s="153"/>
      <c r="J82" s="153"/>
      <c r="L82" s="196"/>
      <c r="M82" s="153"/>
      <c r="N82" s="153"/>
      <c r="O82" s="153"/>
      <c r="P82" s="153"/>
      <c r="Q82" s="153"/>
      <c r="R82" s="206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spans="1:31" ht="12.75">
      <c r="A83" s="193">
        <f t="shared" si="3"/>
        <v>78</v>
      </c>
      <c r="C83" s="268">
        <v>37509</v>
      </c>
      <c r="D83" s="269" t="s">
        <v>65</v>
      </c>
      <c r="E83" s="115" t="s">
        <v>66</v>
      </c>
      <c r="F83" s="161">
        <f t="shared" si="4"/>
        <v>30000</v>
      </c>
      <c r="G83" s="153">
        <v>150000</v>
      </c>
      <c r="H83" s="266">
        <v>0.2</v>
      </c>
      <c r="I83" s="153"/>
      <c r="J83" s="153"/>
      <c r="L83" s="196"/>
      <c r="M83" s="153"/>
      <c r="N83" s="153"/>
      <c r="O83" s="153"/>
      <c r="P83" s="153"/>
      <c r="Q83" s="153"/>
      <c r="R83" s="206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</row>
    <row r="84" spans="1:31" ht="12.75">
      <c r="A84" s="193">
        <f t="shared" si="3"/>
        <v>79</v>
      </c>
      <c r="C84" s="268">
        <v>37509</v>
      </c>
      <c r="D84" s="269" t="s">
        <v>65</v>
      </c>
      <c r="E84" s="115" t="s">
        <v>66</v>
      </c>
      <c r="F84" s="161">
        <f t="shared" si="4"/>
        <v>30000</v>
      </c>
      <c r="G84" s="153">
        <v>150000</v>
      </c>
      <c r="H84" s="266">
        <v>0.2</v>
      </c>
      <c r="I84" s="153"/>
      <c r="J84" s="153"/>
      <c r="L84" s="196"/>
      <c r="M84" s="153"/>
      <c r="N84" s="153"/>
      <c r="O84" s="153"/>
      <c r="P84" s="153"/>
      <c r="Q84" s="153"/>
      <c r="R84" s="206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31" ht="12.75">
      <c r="A85" s="193">
        <f t="shared" si="3"/>
        <v>80</v>
      </c>
      <c r="C85" s="268">
        <v>37509</v>
      </c>
      <c r="D85" s="269" t="s">
        <v>65</v>
      </c>
      <c r="E85" s="115" t="s">
        <v>66</v>
      </c>
      <c r="F85" s="161">
        <f t="shared" si="4"/>
        <v>30000</v>
      </c>
      <c r="G85" s="153">
        <v>150000</v>
      </c>
      <c r="H85" s="266">
        <v>0.2</v>
      </c>
      <c r="I85" s="153"/>
      <c r="J85" s="153"/>
      <c r="L85" s="196"/>
      <c r="M85" s="153"/>
      <c r="N85" s="153"/>
      <c r="O85" s="153"/>
      <c r="P85" s="153"/>
      <c r="Q85" s="153"/>
      <c r="R85" s="206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31" ht="12.75">
      <c r="A86" s="193">
        <f t="shared" si="3"/>
        <v>81</v>
      </c>
      <c r="C86" s="268">
        <v>37509</v>
      </c>
      <c r="D86" s="269" t="s">
        <v>65</v>
      </c>
      <c r="E86" s="115" t="s">
        <v>66</v>
      </c>
      <c r="F86" s="161">
        <f t="shared" si="4"/>
        <v>30000</v>
      </c>
      <c r="G86" s="153">
        <v>150000</v>
      </c>
      <c r="H86" s="266">
        <v>0.2</v>
      </c>
      <c r="I86" s="153"/>
      <c r="J86" s="153"/>
      <c r="L86" s="196"/>
      <c r="M86" s="153"/>
      <c r="N86" s="153"/>
      <c r="O86" s="153"/>
      <c r="P86" s="153"/>
      <c r="Q86" s="153"/>
      <c r="R86" s="206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31" ht="12.75">
      <c r="A87" s="193">
        <f t="shared" si="3"/>
        <v>82</v>
      </c>
      <c r="C87" s="268">
        <v>37509</v>
      </c>
      <c r="D87" s="269" t="s">
        <v>65</v>
      </c>
      <c r="E87" s="115" t="s">
        <v>66</v>
      </c>
      <c r="F87" s="161">
        <f t="shared" si="4"/>
        <v>30000</v>
      </c>
      <c r="G87" s="153">
        <v>150000</v>
      </c>
      <c r="H87" s="266">
        <v>0.2</v>
      </c>
      <c r="I87" s="153"/>
      <c r="J87" s="153"/>
      <c r="L87" s="196"/>
      <c r="M87" s="153"/>
      <c r="N87" s="153"/>
      <c r="O87" s="153"/>
      <c r="P87" s="153"/>
      <c r="Q87" s="153"/>
      <c r="R87" s="206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31" ht="12.75">
      <c r="A88" s="193">
        <f t="shared" si="3"/>
        <v>83</v>
      </c>
      <c r="C88" s="268">
        <v>37509</v>
      </c>
      <c r="D88" s="269" t="s">
        <v>65</v>
      </c>
      <c r="E88" s="115" t="s">
        <v>66</v>
      </c>
      <c r="F88" s="161">
        <f t="shared" si="4"/>
        <v>30000</v>
      </c>
      <c r="G88" s="153">
        <v>150000</v>
      </c>
      <c r="H88" s="266">
        <v>0.2</v>
      </c>
      <c r="I88" s="153"/>
      <c r="J88" s="153"/>
      <c r="L88" s="196"/>
      <c r="M88" s="153"/>
      <c r="N88" s="153"/>
      <c r="O88" s="153"/>
      <c r="P88" s="153"/>
      <c r="Q88" s="153"/>
      <c r="R88" s="206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</row>
    <row r="89" spans="1:31" ht="12.75">
      <c r="A89" s="193">
        <f t="shared" si="3"/>
        <v>84</v>
      </c>
      <c r="C89" s="268">
        <v>37509</v>
      </c>
      <c r="D89" s="269" t="s">
        <v>65</v>
      </c>
      <c r="E89" s="115" t="s">
        <v>66</v>
      </c>
      <c r="F89" s="161">
        <f t="shared" si="4"/>
        <v>30000</v>
      </c>
      <c r="G89" s="153">
        <v>150000</v>
      </c>
      <c r="H89" s="266">
        <v>0.2</v>
      </c>
      <c r="I89" s="153"/>
      <c r="J89" s="153"/>
      <c r="L89" s="196"/>
      <c r="M89" s="153"/>
      <c r="N89" s="153"/>
      <c r="O89" s="153"/>
      <c r="P89" s="153"/>
      <c r="Q89" s="153"/>
      <c r="R89" s="206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31" ht="12.75">
      <c r="A90" s="193">
        <f t="shared" si="3"/>
        <v>85</v>
      </c>
      <c r="C90" s="268">
        <v>37509</v>
      </c>
      <c r="D90" s="269" t="s">
        <v>65</v>
      </c>
      <c r="E90" s="115" t="s">
        <v>66</v>
      </c>
      <c r="F90" s="161">
        <f t="shared" si="4"/>
        <v>30000</v>
      </c>
      <c r="G90" s="153">
        <v>150000</v>
      </c>
      <c r="H90" s="266">
        <v>0.2</v>
      </c>
      <c r="I90" s="153"/>
      <c r="J90" s="153"/>
      <c r="L90" s="196"/>
      <c r="M90" s="153"/>
      <c r="N90" s="153"/>
      <c r="O90" s="153"/>
      <c r="P90" s="153"/>
      <c r="Q90" s="153"/>
      <c r="R90" s="206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31" ht="12.75">
      <c r="A91" s="193">
        <f t="shared" si="3"/>
        <v>86</v>
      </c>
      <c r="C91" s="268">
        <v>37509</v>
      </c>
      <c r="D91" s="269" t="s">
        <v>65</v>
      </c>
      <c r="E91" s="115" t="s">
        <v>66</v>
      </c>
      <c r="F91" s="161">
        <f t="shared" si="4"/>
        <v>30000</v>
      </c>
      <c r="G91" s="153">
        <v>150000</v>
      </c>
      <c r="H91" s="266">
        <v>0.2</v>
      </c>
      <c r="I91" s="153"/>
      <c r="J91" s="153"/>
      <c r="L91" s="196"/>
      <c r="M91" s="153"/>
      <c r="N91" s="153"/>
      <c r="O91" s="153"/>
      <c r="P91" s="153"/>
      <c r="Q91" s="153"/>
      <c r="R91" s="206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31" ht="12.75">
      <c r="A92" s="193">
        <f t="shared" si="3"/>
        <v>87</v>
      </c>
      <c r="C92" s="268">
        <v>37509</v>
      </c>
      <c r="D92" s="269" t="s">
        <v>65</v>
      </c>
      <c r="E92" s="115" t="s">
        <v>66</v>
      </c>
      <c r="F92" s="161">
        <f t="shared" si="4"/>
        <v>22500</v>
      </c>
      <c r="G92" s="153">
        <v>45000</v>
      </c>
      <c r="H92" s="266">
        <v>0.5</v>
      </c>
      <c r="I92" s="153"/>
      <c r="J92" s="153"/>
      <c r="K92" s="153"/>
      <c r="L92" s="153"/>
      <c r="M92" s="153"/>
      <c r="N92" s="153"/>
      <c r="O92" s="153"/>
      <c r="P92" s="153"/>
      <c r="Q92" s="153"/>
      <c r="R92" s="206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31" ht="12.75">
      <c r="A93" s="193">
        <f t="shared" si="3"/>
        <v>88</v>
      </c>
      <c r="C93" s="268">
        <v>37509</v>
      </c>
      <c r="D93" s="269" t="s">
        <v>65</v>
      </c>
      <c r="E93" s="115" t="s">
        <v>66</v>
      </c>
      <c r="F93" s="161">
        <f t="shared" si="4"/>
        <v>15000</v>
      </c>
      <c r="G93" s="153">
        <v>150000</v>
      </c>
      <c r="H93" s="266">
        <v>0.1</v>
      </c>
      <c r="I93" s="153"/>
      <c r="J93" s="153"/>
      <c r="L93" s="196"/>
      <c r="M93" s="153"/>
      <c r="N93" s="153"/>
      <c r="O93" s="153"/>
      <c r="P93" s="153"/>
      <c r="Q93" s="153"/>
      <c r="R93" s="206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31" ht="12.75">
      <c r="A94" s="193">
        <f t="shared" si="3"/>
        <v>89</v>
      </c>
      <c r="C94" s="268">
        <v>37509</v>
      </c>
      <c r="D94" s="269" t="s">
        <v>65</v>
      </c>
      <c r="E94" s="115" t="s">
        <v>66</v>
      </c>
      <c r="F94" s="161">
        <f t="shared" si="4"/>
        <v>4000</v>
      </c>
      <c r="G94" s="153">
        <v>20000</v>
      </c>
      <c r="H94" s="266">
        <v>0.2</v>
      </c>
      <c r="I94" s="153"/>
      <c r="J94" s="153"/>
      <c r="K94" s="153"/>
      <c r="L94" s="153"/>
      <c r="M94" s="153"/>
      <c r="N94" s="153"/>
      <c r="O94" s="153"/>
      <c r="P94" s="153"/>
      <c r="Q94" s="153"/>
      <c r="R94" s="206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31" ht="12.75">
      <c r="A95" s="193">
        <f t="shared" si="3"/>
        <v>90</v>
      </c>
      <c r="C95" s="268">
        <v>37509</v>
      </c>
      <c r="D95" s="269" t="s">
        <v>65</v>
      </c>
      <c r="E95" s="115" t="s">
        <v>66</v>
      </c>
      <c r="F95" s="161">
        <f t="shared" si="4"/>
        <v>15000</v>
      </c>
      <c r="G95" s="153">
        <v>75000</v>
      </c>
      <c r="H95" s="266">
        <v>0.2</v>
      </c>
      <c r="I95" s="153"/>
      <c r="J95" s="153"/>
      <c r="L95" s="196"/>
      <c r="M95" s="153"/>
      <c r="N95" s="153"/>
      <c r="O95" s="153"/>
      <c r="P95" s="153"/>
      <c r="Q95" s="153"/>
      <c r="R95" s="206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31" ht="12.75">
      <c r="A96" s="193">
        <f t="shared" si="3"/>
        <v>91</v>
      </c>
      <c r="C96" s="268">
        <v>37509</v>
      </c>
      <c r="D96" s="269" t="s">
        <v>65</v>
      </c>
      <c r="E96" s="115" t="s">
        <v>66</v>
      </c>
      <c r="F96" s="161">
        <f t="shared" si="4"/>
        <v>2000</v>
      </c>
      <c r="G96" s="153">
        <v>20000</v>
      </c>
      <c r="H96" s="266">
        <v>0.1</v>
      </c>
      <c r="I96" s="153"/>
      <c r="J96" s="153"/>
      <c r="L96" s="196"/>
      <c r="M96" s="153"/>
      <c r="N96" s="153"/>
      <c r="O96" s="153"/>
      <c r="P96" s="153"/>
      <c r="Q96" s="153"/>
      <c r="R96" s="206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31" ht="12.75">
      <c r="A97" s="193">
        <f t="shared" si="3"/>
        <v>92</v>
      </c>
      <c r="C97" s="268">
        <v>37509</v>
      </c>
      <c r="D97" s="269" t="s">
        <v>65</v>
      </c>
      <c r="E97" s="115" t="s">
        <v>66</v>
      </c>
      <c r="F97" s="161">
        <f t="shared" si="4"/>
        <v>13500</v>
      </c>
      <c r="G97" s="153">
        <v>45000</v>
      </c>
      <c r="H97" s="266">
        <v>0.3</v>
      </c>
      <c r="I97" s="153"/>
      <c r="J97" s="153"/>
      <c r="K97" s="153"/>
      <c r="L97" s="153"/>
      <c r="M97" s="153"/>
      <c r="N97" s="153"/>
      <c r="O97" s="153"/>
      <c r="P97" s="153"/>
      <c r="Q97" s="153"/>
      <c r="R97" s="206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</row>
    <row r="98" spans="1:31" ht="12.75">
      <c r="A98" s="193">
        <f t="shared" si="3"/>
        <v>93</v>
      </c>
      <c r="C98" s="268">
        <v>37509</v>
      </c>
      <c r="D98" s="269" t="s">
        <v>65</v>
      </c>
      <c r="E98" s="115" t="s">
        <v>66</v>
      </c>
      <c r="F98" s="161">
        <f t="shared" si="4"/>
        <v>13500</v>
      </c>
      <c r="G98" s="153">
        <v>45000</v>
      </c>
      <c r="H98" s="266">
        <v>0.3</v>
      </c>
      <c r="I98" s="153"/>
      <c r="J98" s="153"/>
      <c r="K98" s="153"/>
      <c r="L98" s="153"/>
      <c r="M98" s="153"/>
      <c r="N98" s="153"/>
      <c r="O98" s="153"/>
      <c r="P98" s="153"/>
      <c r="Q98" s="153"/>
      <c r="R98" s="206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31" ht="12.75">
      <c r="A99" s="193">
        <f t="shared" si="3"/>
        <v>94</v>
      </c>
      <c r="C99" s="268">
        <v>37509</v>
      </c>
      <c r="D99" s="269" t="s">
        <v>65</v>
      </c>
      <c r="E99" s="115" t="s">
        <v>66</v>
      </c>
      <c r="F99" s="161">
        <f t="shared" si="4"/>
        <v>7400</v>
      </c>
      <c r="G99" s="153">
        <v>37000</v>
      </c>
      <c r="H99" s="266">
        <v>0.2</v>
      </c>
      <c r="I99" s="153"/>
      <c r="J99" s="153"/>
      <c r="K99" s="153"/>
      <c r="L99" s="153"/>
      <c r="M99" s="153"/>
      <c r="N99" s="153"/>
      <c r="O99" s="153"/>
      <c r="P99" s="153"/>
      <c r="Q99" s="153"/>
      <c r="R99" s="206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</row>
    <row r="100" spans="3:31" ht="12.75">
      <c r="C100" s="265"/>
      <c r="D100" s="272"/>
      <c r="E100" s="267"/>
      <c r="F100" s="161"/>
      <c r="G100" s="153"/>
      <c r="H100" s="365">
        <f>AVERAGE(H6:H99)</f>
        <v>0.23191489361702097</v>
      </c>
      <c r="I100" s="153"/>
      <c r="J100" s="153"/>
      <c r="K100" s="153"/>
      <c r="L100" s="153"/>
      <c r="M100" s="153"/>
      <c r="N100" s="153"/>
      <c r="O100" s="153"/>
      <c r="P100" s="153"/>
      <c r="Q100" s="153"/>
      <c r="R100" s="206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</row>
    <row r="101" spans="1:31" ht="12.75">
      <c r="A101" s="139" t="s">
        <v>84</v>
      </c>
      <c r="C101" s="265"/>
      <c r="E101" s="267"/>
      <c r="F101" s="211">
        <f>SUM(F103:F120)</f>
        <v>628390.4</v>
      </c>
      <c r="G101" s="153"/>
      <c r="H101" s="211"/>
      <c r="I101" s="153"/>
      <c r="J101" s="153"/>
      <c r="K101" s="153"/>
      <c r="L101" s="153"/>
      <c r="M101" s="153"/>
      <c r="N101" s="153"/>
      <c r="O101" s="153"/>
      <c r="P101" s="153"/>
      <c r="Q101" s="153"/>
      <c r="R101" s="206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</row>
    <row r="102" spans="1:31" ht="12.75">
      <c r="A102" s="193">
        <v>0</v>
      </c>
      <c r="C102" s="273"/>
      <c r="D102" s="274"/>
      <c r="E102" s="267"/>
      <c r="F102" s="161"/>
      <c r="G102" s="275"/>
      <c r="H102" s="276"/>
      <c r="I102" s="153"/>
      <c r="J102" s="153"/>
      <c r="K102" s="153"/>
      <c r="L102" s="153"/>
      <c r="M102" s="153"/>
      <c r="N102" s="153"/>
      <c r="O102" s="153"/>
      <c r="P102" s="153"/>
      <c r="Q102" s="153"/>
      <c r="R102" s="206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</row>
    <row r="103" spans="1:32" ht="25.5">
      <c r="A103" s="193">
        <f aca="true" t="shared" si="5" ref="A103:A120">A102+1</f>
        <v>1</v>
      </c>
      <c r="C103" s="268">
        <v>37509</v>
      </c>
      <c r="D103" s="270" t="s">
        <v>344</v>
      </c>
      <c r="E103" s="115" t="s">
        <v>284</v>
      </c>
      <c r="F103" s="161">
        <f aca="true" t="shared" si="6" ref="F103:F120">G103*H103</f>
        <v>50400</v>
      </c>
      <c r="G103" s="275">
        <f>4200*12</f>
        <v>50400</v>
      </c>
      <c r="H103" s="276">
        <v>1</v>
      </c>
      <c r="J103" s="153"/>
      <c r="K103" s="153"/>
      <c r="L103" s="153"/>
      <c r="M103" s="153"/>
      <c r="N103" s="153"/>
      <c r="O103" s="153"/>
      <c r="P103" s="153"/>
      <c r="Q103" s="153"/>
      <c r="R103" s="206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</row>
    <row r="104" spans="1:31" ht="12.75">
      <c r="A104" s="193">
        <f t="shared" si="5"/>
        <v>2</v>
      </c>
      <c r="C104" s="268">
        <v>37509</v>
      </c>
      <c r="D104" s="270" t="s">
        <v>286</v>
      </c>
      <c r="E104" s="115" t="s">
        <v>260</v>
      </c>
      <c r="F104" s="161">
        <f t="shared" si="6"/>
        <v>63000</v>
      </c>
      <c r="G104" s="275">
        <f>5250*12</f>
        <v>63000</v>
      </c>
      <c r="H104" s="276">
        <v>1</v>
      </c>
      <c r="I104" s="153"/>
      <c r="J104" s="153"/>
      <c r="K104" s="153"/>
      <c r="L104" s="196"/>
      <c r="M104" s="277"/>
      <c r="N104" s="278"/>
      <c r="O104" s="278"/>
      <c r="P104" s="278"/>
      <c r="Q104" s="278"/>
      <c r="R104" s="279"/>
      <c r="S104" s="278"/>
      <c r="T104" s="278"/>
      <c r="U104" s="278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</row>
    <row r="105" spans="1:31" ht="25.5">
      <c r="A105" s="193">
        <f t="shared" si="5"/>
        <v>3</v>
      </c>
      <c r="C105" s="268">
        <v>37509</v>
      </c>
      <c r="D105" s="115" t="s">
        <v>350</v>
      </c>
      <c r="E105" s="115" t="s">
        <v>260</v>
      </c>
      <c r="F105" s="161">
        <f t="shared" si="6"/>
        <v>53750.399999999994</v>
      </c>
      <c r="G105" s="278">
        <f>4479.2*12</f>
        <v>53750.399999999994</v>
      </c>
      <c r="H105" s="276">
        <v>1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206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</row>
    <row r="106" spans="1:31" ht="12.75">
      <c r="A106" s="193">
        <f t="shared" si="5"/>
        <v>4</v>
      </c>
      <c r="C106" s="268">
        <v>37509</v>
      </c>
      <c r="D106" s="164" t="s">
        <v>137</v>
      </c>
      <c r="E106" s="115" t="s">
        <v>260</v>
      </c>
      <c r="F106" s="161">
        <f t="shared" si="6"/>
        <v>30000</v>
      </c>
      <c r="G106" s="278">
        <f>2500*12</f>
        <v>30000</v>
      </c>
      <c r="H106" s="276">
        <v>1</v>
      </c>
      <c r="I106" s="153"/>
      <c r="J106" s="153"/>
      <c r="K106" s="153"/>
      <c r="L106" s="153"/>
      <c r="M106" s="153"/>
      <c r="N106" s="153"/>
      <c r="O106" s="153"/>
      <c r="P106" s="153"/>
      <c r="Q106" s="153"/>
      <c r="R106" s="206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1:31" ht="12.75">
      <c r="A107" s="193">
        <f t="shared" si="5"/>
        <v>5</v>
      </c>
      <c r="C107" s="268">
        <v>37509</v>
      </c>
      <c r="D107" s="115" t="s">
        <v>305</v>
      </c>
      <c r="E107" s="115" t="s">
        <v>260</v>
      </c>
      <c r="F107" s="161">
        <f t="shared" si="6"/>
        <v>39600</v>
      </c>
      <c r="G107" s="275">
        <f>3300*12</f>
        <v>39600</v>
      </c>
      <c r="H107" s="276">
        <v>1</v>
      </c>
      <c r="I107" s="153"/>
      <c r="J107" s="153"/>
      <c r="K107" s="153"/>
      <c r="L107" s="153"/>
      <c r="M107" s="153"/>
      <c r="N107" s="153"/>
      <c r="O107" s="153"/>
      <c r="P107" s="153"/>
      <c r="Q107" s="153"/>
      <c r="R107" s="206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</row>
    <row r="108" spans="1:31" ht="25.5">
      <c r="A108" s="193">
        <f t="shared" si="5"/>
        <v>6</v>
      </c>
      <c r="C108" s="268">
        <v>37509</v>
      </c>
      <c r="D108" s="270" t="s">
        <v>341</v>
      </c>
      <c r="E108" s="115" t="s">
        <v>260</v>
      </c>
      <c r="F108" s="161">
        <f t="shared" si="6"/>
        <v>30000</v>
      </c>
      <c r="G108" s="275">
        <f>2500*12</f>
        <v>30000</v>
      </c>
      <c r="H108" s="276">
        <v>1</v>
      </c>
      <c r="I108" s="153"/>
      <c r="J108" s="153"/>
      <c r="K108" s="153"/>
      <c r="L108" s="153"/>
      <c r="M108" s="153"/>
      <c r="N108" s="153"/>
      <c r="O108" s="153"/>
      <c r="P108" s="153"/>
      <c r="Q108" s="153"/>
      <c r="R108" s="20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</row>
    <row r="109" spans="1:31" ht="12.75">
      <c r="A109" s="193">
        <f t="shared" si="5"/>
        <v>7</v>
      </c>
      <c r="C109" s="268">
        <v>37509</v>
      </c>
      <c r="D109" s="115" t="s">
        <v>142</v>
      </c>
      <c r="E109" s="115" t="s">
        <v>260</v>
      </c>
      <c r="F109" s="161">
        <f t="shared" si="6"/>
        <v>24000</v>
      </c>
      <c r="G109" s="275">
        <v>24000</v>
      </c>
      <c r="H109" s="276">
        <v>1</v>
      </c>
      <c r="I109" s="153"/>
      <c r="J109" s="153"/>
      <c r="K109" s="153"/>
      <c r="L109" s="153"/>
      <c r="M109" s="153"/>
      <c r="N109" s="153"/>
      <c r="O109" s="153"/>
      <c r="P109" s="153"/>
      <c r="Q109" s="153"/>
      <c r="R109" s="20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</row>
    <row r="110" spans="1:31" ht="12.75">
      <c r="A110" s="193">
        <f t="shared" si="5"/>
        <v>8</v>
      </c>
      <c r="C110" s="268">
        <v>37509</v>
      </c>
      <c r="D110" s="115" t="s">
        <v>73</v>
      </c>
      <c r="E110" s="115" t="s">
        <v>260</v>
      </c>
      <c r="F110" s="161">
        <f t="shared" si="6"/>
        <v>18000</v>
      </c>
      <c r="G110" s="278">
        <f>1800/6*5*12</f>
        <v>18000</v>
      </c>
      <c r="H110" s="280">
        <v>1</v>
      </c>
      <c r="I110" s="153"/>
      <c r="J110" s="153"/>
      <c r="K110" s="153"/>
      <c r="L110" s="153"/>
      <c r="M110" s="153"/>
      <c r="N110" s="153"/>
      <c r="O110" s="153"/>
      <c r="P110" s="153"/>
      <c r="Q110" s="153"/>
      <c r="R110" s="20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</row>
    <row r="111" spans="1:31" ht="12.75">
      <c r="A111" s="193">
        <f t="shared" si="5"/>
        <v>9</v>
      </c>
      <c r="C111" s="268">
        <v>37509</v>
      </c>
      <c r="D111" s="115" t="s">
        <v>16</v>
      </c>
      <c r="E111" s="115" t="s">
        <v>260</v>
      </c>
      <c r="F111" s="161">
        <f t="shared" si="6"/>
        <v>39000</v>
      </c>
      <c r="G111" s="278">
        <f>3250*12</f>
        <v>39000</v>
      </c>
      <c r="H111" s="276">
        <v>1</v>
      </c>
      <c r="I111" s="153"/>
      <c r="J111" s="153"/>
      <c r="K111" s="153"/>
      <c r="L111" s="153"/>
      <c r="M111" s="153"/>
      <c r="N111" s="153"/>
      <c r="O111" s="153"/>
      <c r="P111" s="153"/>
      <c r="Q111" s="153"/>
      <c r="R111" s="20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</row>
    <row r="112" spans="1:31" ht="12.75">
      <c r="A112" s="193">
        <f t="shared" si="5"/>
        <v>10</v>
      </c>
      <c r="C112" s="268">
        <v>37509</v>
      </c>
      <c r="D112" s="115" t="s">
        <v>340</v>
      </c>
      <c r="E112" s="115" t="s">
        <v>260</v>
      </c>
      <c r="F112" s="161">
        <f t="shared" si="6"/>
        <v>12000</v>
      </c>
      <c r="G112" s="275">
        <v>12000</v>
      </c>
      <c r="H112" s="276">
        <v>1</v>
      </c>
      <c r="I112" s="153"/>
      <c r="J112" s="153"/>
      <c r="K112" s="153"/>
      <c r="L112" s="153"/>
      <c r="M112" s="153"/>
      <c r="N112" s="153"/>
      <c r="O112" s="153"/>
      <c r="P112" s="153"/>
      <c r="Q112" s="153"/>
      <c r="R112" s="20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</row>
    <row r="113" spans="1:31" ht="12.75">
      <c r="A113" s="193">
        <f t="shared" si="5"/>
        <v>11</v>
      </c>
      <c r="C113" s="268">
        <v>37509</v>
      </c>
      <c r="D113" s="115" t="s">
        <v>71</v>
      </c>
      <c r="E113" s="115" t="s">
        <v>260</v>
      </c>
      <c r="F113" s="161">
        <f t="shared" si="6"/>
        <v>12000</v>
      </c>
      <c r="G113" s="275">
        <v>12000</v>
      </c>
      <c r="H113" s="276">
        <v>1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20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</row>
    <row r="114" spans="1:31" ht="12.75">
      <c r="A114" s="193">
        <f t="shared" si="5"/>
        <v>12</v>
      </c>
      <c r="C114" s="268">
        <v>37509</v>
      </c>
      <c r="D114" s="115" t="s">
        <v>302</v>
      </c>
      <c r="E114" s="115" t="s">
        <v>260</v>
      </c>
      <c r="F114" s="161">
        <f t="shared" si="6"/>
        <v>41400</v>
      </c>
      <c r="G114" s="278">
        <f>3450*12</f>
        <v>41400</v>
      </c>
      <c r="H114" s="280">
        <v>1</v>
      </c>
      <c r="I114" s="153"/>
      <c r="J114" s="153"/>
      <c r="K114" s="153"/>
      <c r="L114" s="153"/>
      <c r="M114" s="153"/>
      <c r="N114" s="153"/>
      <c r="O114" s="153"/>
      <c r="P114" s="153"/>
      <c r="Q114" s="153"/>
      <c r="R114" s="206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</row>
    <row r="115" spans="1:31" ht="12.75">
      <c r="A115" s="193">
        <f t="shared" si="5"/>
        <v>13</v>
      </c>
      <c r="C115" s="268">
        <v>37509</v>
      </c>
      <c r="D115" s="115" t="s">
        <v>23</v>
      </c>
      <c r="E115" s="115" t="s">
        <v>260</v>
      </c>
      <c r="F115" s="161">
        <f t="shared" si="6"/>
        <v>80040</v>
      </c>
      <c r="G115" s="275">
        <f>6670*12</f>
        <v>80040</v>
      </c>
      <c r="H115" s="276">
        <v>1</v>
      </c>
      <c r="I115" s="153"/>
      <c r="J115" s="153"/>
      <c r="K115" s="153"/>
      <c r="L115" s="153"/>
      <c r="M115" s="153"/>
      <c r="N115" s="153"/>
      <c r="O115" s="153"/>
      <c r="P115" s="153"/>
      <c r="Q115" s="153"/>
      <c r="R115" s="206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</row>
    <row r="116" spans="1:31" ht="25.5">
      <c r="A116" s="193">
        <f t="shared" si="5"/>
        <v>14</v>
      </c>
      <c r="C116" s="268">
        <v>37509</v>
      </c>
      <c r="D116" s="115" t="s">
        <v>141</v>
      </c>
      <c r="E116" s="115" t="s">
        <v>260</v>
      </c>
      <c r="F116" s="161">
        <f t="shared" si="6"/>
        <v>6800</v>
      </c>
      <c r="G116" s="275">
        <f>1700*4</f>
        <v>6800</v>
      </c>
      <c r="H116" s="276">
        <v>1</v>
      </c>
      <c r="I116" s="153"/>
      <c r="J116" s="153"/>
      <c r="K116" s="153"/>
      <c r="L116" s="153"/>
      <c r="M116" s="153"/>
      <c r="N116" s="153"/>
      <c r="O116" s="153"/>
      <c r="P116" s="153"/>
      <c r="Q116" s="153"/>
      <c r="R116" s="206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</row>
    <row r="117" spans="1:31" ht="12.75">
      <c r="A117" s="193">
        <f t="shared" si="5"/>
        <v>15</v>
      </c>
      <c r="C117" s="268">
        <v>37509</v>
      </c>
      <c r="D117" s="164" t="s">
        <v>288</v>
      </c>
      <c r="E117" s="115" t="s">
        <v>260</v>
      </c>
      <c r="F117" s="161">
        <f t="shared" si="6"/>
        <v>48000</v>
      </c>
      <c r="G117" s="275">
        <v>48000</v>
      </c>
      <c r="H117" s="276">
        <v>1</v>
      </c>
      <c r="I117" s="153"/>
      <c r="J117" s="153"/>
      <c r="K117" s="153"/>
      <c r="L117" s="153"/>
      <c r="M117" s="153"/>
      <c r="N117" s="153"/>
      <c r="O117" s="153"/>
      <c r="P117" s="153"/>
      <c r="Q117" s="153"/>
      <c r="R117" s="206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</row>
    <row r="118" spans="1:31" ht="12.75">
      <c r="A118" s="193">
        <f t="shared" si="5"/>
        <v>16</v>
      </c>
      <c r="C118" s="268">
        <v>37509</v>
      </c>
      <c r="D118" s="115" t="s">
        <v>140</v>
      </c>
      <c r="E118" s="115" t="s">
        <v>260</v>
      </c>
      <c r="F118" s="161">
        <f t="shared" si="6"/>
        <v>29400</v>
      </c>
      <c r="G118" s="278">
        <f>2450*12</f>
        <v>29400</v>
      </c>
      <c r="H118" s="276">
        <v>1</v>
      </c>
      <c r="I118" s="153"/>
      <c r="J118" s="153"/>
      <c r="K118" s="153"/>
      <c r="L118" s="153"/>
      <c r="M118" s="153"/>
      <c r="N118" s="153"/>
      <c r="O118" s="153"/>
      <c r="P118" s="153"/>
      <c r="Q118" s="153"/>
      <c r="R118" s="206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1:31" ht="12.75">
      <c r="A119" s="193">
        <f t="shared" si="5"/>
        <v>17</v>
      </c>
      <c r="C119" s="268">
        <v>37509</v>
      </c>
      <c r="D119" s="115" t="s">
        <v>138</v>
      </c>
      <c r="E119" s="115" t="s">
        <v>260</v>
      </c>
      <c r="F119" s="161">
        <f t="shared" si="6"/>
        <v>36000</v>
      </c>
      <c r="G119" s="275">
        <v>36000</v>
      </c>
      <c r="H119" s="276">
        <v>1</v>
      </c>
      <c r="I119" s="153"/>
      <c r="J119" s="153"/>
      <c r="K119" s="153"/>
      <c r="L119" s="153"/>
      <c r="M119" s="153"/>
      <c r="N119" s="153"/>
      <c r="O119" s="153"/>
      <c r="P119" s="153"/>
      <c r="Q119" s="153"/>
      <c r="R119" s="206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31" ht="12.75">
      <c r="A120" s="193">
        <f t="shared" si="5"/>
        <v>18</v>
      </c>
      <c r="C120" s="268">
        <v>37509</v>
      </c>
      <c r="D120" s="115" t="s">
        <v>285</v>
      </c>
      <c r="E120" s="115" t="s">
        <v>260</v>
      </c>
      <c r="F120" s="161">
        <f t="shared" si="6"/>
        <v>15000</v>
      </c>
      <c r="G120" s="275">
        <v>15000</v>
      </c>
      <c r="H120" s="280">
        <v>1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206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4:31" ht="12.75">
      <c r="D121" s="272"/>
      <c r="E121" s="267"/>
      <c r="F121" s="153"/>
      <c r="G121" s="275"/>
      <c r="H121" s="276"/>
      <c r="I121" s="153"/>
      <c r="J121" s="153"/>
      <c r="K121" s="153"/>
      <c r="L121" s="153"/>
      <c r="M121" s="153"/>
      <c r="N121" s="153"/>
      <c r="O121" s="153"/>
      <c r="P121" s="153"/>
      <c r="Q121" s="153"/>
      <c r="R121" s="206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</row>
    <row r="122" spans="5:31" ht="12.75">
      <c r="E122" s="184"/>
      <c r="F122" s="153"/>
      <c r="G122" s="153"/>
      <c r="H122" s="266"/>
      <c r="I122" s="153"/>
      <c r="J122" s="153"/>
      <c r="K122" s="153"/>
      <c r="L122" s="153"/>
      <c r="M122" s="153"/>
      <c r="N122" s="153"/>
      <c r="O122" s="153"/>
      <c r="P122" s="153"/>
      <c r="Q122" s="153"/>
      <c r="R122" s="206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6:31" ht="12.75">
      <c r="F123" s="153"/>
      <c r="G123" s="153"/>
      <c r="H123" s="266"/>
      <c r="I123" s="153"/>
      <c r="J123" s="153"/>
      <c r="K123" s="153"/>
      <c r="L123" s="153"/>
      <c r="M123" s="153"/>
      <c r="N123" s="153"/>
      <c r="O123" s="153"/>
      <c r="P123" s="153"/>
      <c r="Q123" s="153"/>
      <c r="R123" s="206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</row>
    <row r="124" spans="6:31" ht="12.75">
      <c r="F124" s="153"/>
      <c r="G124" s="153"/>
      <c r="H124" s="266"/>
      <c r="I124" s="153"/>
      <c r="J124" s="153"/>
      <c r="K124" s="153"/>
      <c r="L124" s="153"/>
      <c r="M124" s="153"/>
      <c r="N124" s="153"/>
      <c r="O124" s="153"/>
      <c r="P124" s="153"/>
      <c r="Q124" s="153"/>
      <c r="R124" s="206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6:31" ht="12.75">
      <c r="F125" s="153"/>
      <c r="G125" s="153"/>
      <c r="H125" s="266"/>
      <c r="I125" s="153"/>
      <c r="J125" s="153"/>
      <c r="K125" s="153"/>
      <c r="L125" s="153"/>
      <c r="M125" s="153"/>
      <c r="N125" s="153"/>
      <c r="O125" s="153"/>
      <c r="P125" s="153"/>
      <c r="Q125" s="153"/>
      <c r="R125" s="206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6:31" ht="12.75">
      <c r="F126" s="153"/>
      <c r="G126" s="153"/>
      <c r="H126" s="266"/>
      <c r="I126" s="153"/>
      <c r="J126" s="153"/>
      <c r="K126" s="153"/>
      <c r="L126" s="153"/>
      <c r="M126" s="153"/>
      <c r="N126" s="153"/>
      <c r="O126" s="153"/>
      <c r="P126" s="153"/>
      <c r="Q126" s="153"/>
      <c r="R126" s="206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6:31" ht="12.75">
      <c r="F127" s="153"/>
      <c r="G127" s="153"/>
      <c r="H127" s="266"/>
      <c r="I127" s="153"/>
      <c r="J127" s="153"/>
      <c r="K127" s="153"/>
      <c r="L127" s="153"/>
      <c r="M127" s="153"/>
      <c r="N127" s="153"/>
      <c r="O127" s="153"/>
      <c r="P127" s="153"/>
      <c r="Q127" s="153"/>
      <c r="R127" s="206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</row>
    <row r="128" spans="6:31" ht="12.75">
      <c r="F128" s="153"/>
      <c r="G128" s="153"/>
      <c r="H128" s="266"/>
      <c r="I128" s="153"/>
      <c r="J128" s="153"/>
      <c r="K128" s="153"/>
      <c r="L128" s="153"/>
      <c r="M128" s="153"/>
      <c r="N128" s="153"/>
      <c r="O128" s="153"/>
      <c r="P128" s="153"/>
      <c r="Q128" s="153"/>
      <c r="R128" s="206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</row>
    <row r="129" spans="6:31" ht="12.75">
      <c r="F129" s="153"/>
      <c r="G129" s="153"/>
      <c r="H129" s="266"/>
      <c r="I129" s="153"/>
      <c r="J129" s="153"/>
      <c r="K129" s="153"/>
      <c r="L129" s="153"/>
      <c r="M129" s="153"/>
      <c r="N129" s="153"/>
      <c r="O129" s="153"/>
      <c r="P129" s="153"/>
      <c r="Q129" s="153"/>
      <c r="R129" s="206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</row>
    <row r="130" spans="6:31" ht="12.75">
      <c r="F130" s="153"/>
      <c r="G130" s="153"/>
      <c r="H130" s="266"/>
      <c r="I130" s="153"/>
      <c r="J130" s="153"/>
      <c r="K130" s="153"/>
      <c r="L130" s="153"/>
      <c r="M130" s="153"/>
      <c r="N130" s="153"/>
      <c r="O130" s="153"/>
      <c r="P130" s="153"/>
      <c r="Q130" s="153"/>
      <c r="R130" s="206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</row>
    <row r="131" spans="6:31" ht="12.75">
      <c r="F131" s="153"/>
      <c r="G131" s="153"/>
      <c r="H131" s="266"/>
      <c r="I131" s="153"/>
      <c r="J131" s="153"/>
      <c r="K131" s="153"/>
      <c r="L131" s="153"/>
      <c r="M131" s="153"/>
      <c r="N131" s="153"/>
      <c r="O131" s="153"/>
      <c r="P131" s="153"/>
      <c r="Q131" s="153"/>
      <c r="R131" s="206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</row>
    <row r="132" spans="6:31" ht="12.75">
      <c r="F132" s="153"/>
      <c r="G132" s="153"/>
      <c r="H132" s="266"/>
      <c r="I132" s="153"/>
      <c r="J132" s="153"/>
      <c r="K132" s="153"/>
      <c r="L132" s="153"/>
      <c r="M132" s="153"/>
      <c r="N132" s="153"/>
      <c r="O132" s="153"/>
      <c r="P132" s="153"/>
      <c r="Q132" s="153"/>
      <c r="R132" s="206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</row>
    <row r="133" spans="6:31" ht="12.75">
      <c r="F133" s="153"/>
      <c r="G133" s="153"/>
      <c r="H133" s="266"/>
      <c r="I133" s="153"/>
      <c r="J133" s="153"/>
      <c r="K133" s="153"/>
      <c r="L133" s="153"/>
      <c r="M133" s="153"/>
      <c r="N133" s="153"/>
      <c r="O133" s="153"/>
      <c r="P133" s="153"/>
      <c r="Q133" s="153"/>
      <c r="R133" s="206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</row>
    <row r="134" spans="6:31" ht="12.75">
      <c r="F134" s="153"/>
      <c r="G134" s="153"/>
      <c r="H134" s="266"/>
      <c r="I134" s="153"/>
      <c r="J134" s="153"/>
      <c r="K134" s="153"/>
      <c r="L134" s="153"/>
      <c r="M134" s="153"/>
      <c r="N134" s="153"/>
      <c r="O134" s="153"/>
      <c r="P134" s="153"/>
      <c r="Q134" s="153"/>
      <c r="R134" s="206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</row>
    <row r="135" spans="6:31" ht="12.75">
      <c r="F135" s="153"/>
      <c r="G135" s="153"/>
      <c r="H135" s="266"/>
      <c r="I135" s="153"/>
      <c r="J135" s="153"/>
      <c r="K135" s="153"/>
      <c r="L135" s="153"/>
      <c r="M135" s="153"/>
      <c r="N135" s="153"/>
      <c r="O135" s="153"/>
      <c r="P135" s="153"/>
      <c r="Q135" s="153"/>
      <c r="R135" s="206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</row>
    <row r="136" spans="6:31" ht="12.75">
      <c r="F136" s="153"/>
      <c r="G136" s="153"/>
      <c r="H136" s="266"/>
      <c r="I136" s="153"/>
      <c r="J136" s="153"/>
      <c r="K136" s="153"/>
      <c r="L136" s="153"/>
      <c r="M136" s="153"/>
      <c r="N136" s="153"/>
      <c r="O136" s="153"/>
      <c r="P136" s="153"/>
      <c r="Q136" s="153"/>
      <c r="R136" s="206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</row>
    <row r="137" spans="6:31" ht="12.75">
      <c r="F137" s="153"/>
      <c r="G137" s="153"/>
      <c r="H137" s="266"/>
      <c r="I137" s="153"/>
      <c r="J137" s="153"/>
      <c r="K137" s="153"/>
      <c r="L137" s="153"/>
      <c r="M137" s="153"/>
      <c r="N137" s="153"/>
      <c r="O137" s="153"/>
      <c r="P137" s="153"/>
      <c r="Q137" s="153"/>
      <c r="R137" s="206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6:31" ht="12.75">
      <c r="F138" s="153"/>
      <c r="G138" s="153"/>
      <c r="H138" s="266"/>
      <c r="I138" s="153"/>
      <c r="J138" s="153"/>
      <c r="K138" s="153"/>
      <c r="L138" s="153"/>
      <c r="M138" s="153"/>
      <c r="N138" s="153"/>
      <c r="O138" s="153"/>
      <c r="P138" s="153"/>
      <c r="Q138" s="153"/>
      <c r="R138" s="206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</row>
    <row r="139" spans="6:31" ht="12.75">
      <c r="F139" s="153"/>
      <c r="G139" s="153"/>
      <c r="H139" s="266"/>
      <c r="I139" s="153"/>
      <c r="J139" s="153"/>
      <c r="K139" s="153"/>
      <c r="L139" s="153"/>
      <c r="M139" s="153"/>
      <c r="N139" s="153"/>
      <c r="O139" s="153"/>
      <c r="P139" s="153"/>
      <c r="Q139" s="153"/>
      <c r="R139" s="206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</row>
    <row r="140" spans="6:31" ht="12.75">
      <c r="F140" s="153"/>
      <c r="G140" s="153"/>
      <c r="H140" s="266"/>
      <c r="I140" s="153"/>
      <c r="J140" s="153"/>
      <c r="K140" s="153"/>
      <c r="L140" s="153"/>
      <c r="M140" s="153"/>
      <c r="N140" s="153"/>
      <c r="O140" s="153"/>
      <c r="P140" s="153"/>
      <c r="Q140" s="153"/>
      <c r="R140" s="206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</row>
    <row r="141" spans="6:31" ht="12.75">
      <c r="F141" s="153"/>
      <c r="G141" s="153"/>
      <c r="H141" s="266"/>
      <c r="I141" s="153"/>
      <c r="J141" s="153"/>
      <c r="K141" s="153"/>
      <c r="L141" s="153"/>
      <c r="M141" s="153"/>
      <c r="N141" s="153"/>
      <c r="O141" s="153"/>
      <c r="P141" s="153"/>
      <c r="Q141" s="153"/>
      <c r="R141" s="206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</row>
    <row r="142" spans="6:31" ht="12.75">
      <c r="F142" s="153"/>
      <c r="G142" s="153"/>
      <c r="H142" s="266"/>
      <c r="I142" s="153"/>
      <c r="J142" s="153"/>
      <c r="K142" s="153"/>
      <c r="L142" s="153"/>
      <c r="M142" s="153"/>
      <c r="N142" s="153"/>
      <c r="O142" s="153"/>
      <c r="P142" s="153"/>
      <c r="Q142" s="153"/>
      <c r="R142" s="206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</row>
    <row r="143" spans="6:31" ht="12.75">
      <c r="F143" s="153"/>
      <c r="G143" s="153"/>
      <c r="H143" s="266"/>
      <c r="I143" s="153"/>
      <c r="J143" s="153"/>
      <c r="K143" s="153"/>
      <c r="L143" s="153"/>
      <c r="M143" s="153"/>
      <c r="N143" s="153"/>
      <c r="O143" s="153"/>
      <c r="P143" s="153"/>
      <c r="Q143" s="153"/>
      <c r="R143" s="206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</row>
    <row r="144" spans="6:31" ht="12.75">
      <c r="F144" s="153"/>
      <c r="G144" s="153"/>
      <c r="H144" s="266"/>
      <c r="I144" s="153"/>
      <c r="J144" s="153"/>
      <c r="K144" s="153"/>
      <c r="L144" s="153"/>
      <c r="M144" s="153"/>
      <c r="N144" s="153"/>
      <c r="O144" s="153"/>
      <c r="P144" s="153"/>
      <c r="Q144" s="153"/>
      <c r="R144" s="206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</row>
    <row r="145" spans="6:31" ht="12.75">
      <c r="F145" s="153"/>
      <c r="G145" s="153"/>
      <c r="H145" s="266"/>
      <c r="I145" s="153"/>
      <c r="J145" s="153"/>
      <c r="K145" s="153"/>
      <c r="L145" s="153"/>
      <c r="M145" s="153"/>
      <c r="N145" s="153"/>
      <c r="O145" s="153"/>
      <c r="P145" s="153"/>
      <c r="Q145" s="153"/>
      <c r="R145" s="206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</row>
    <row r="146" spans="6:31" ht="12.75">
      <c r="F146" s="153"/>
      <c r="G146" s="153"/>
      <c r="H146" s="266"/>
      <c r="I146" s="153"/>
      <c r="J146" s="153"/>
      <c r="K146" s="153"/>
      <c r="L146" s="153"/>
      <c r="M146" s="153"/>
      <c r="N146" s="153"/>
      <c r="O146" s="153"/>
      <c r="P146" s="153"/>
      <c r="Q146" s="153"/>
      <c r="R146" s="206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</row>
    <row r="147" spans="6:31" ht="12.75">
      <c r="F147" s="153"/>
      <c r="G147" s="153"/>
      <c r="H147" s="266"/>
      <c r="I147" s="153"/>
      <c r="J147" s="153"/>
      <c r="K147" s="153"/>
      <c r="L147" s="153"/>
      <c r="M147" s="153"/>
      <c r="N147" s="153"/>
      <c r="O147" s="153"/>
      <c r="P147" s="153"/>
      <c r="Q147" s="153"/>
      <c r="R147" s="206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</row>
    <row r="148" spans="6:31" ht="12.75">
      <c r="F148" s="153"/>
      <c r="G148" s="153"/>
      <c r="H148" s="266"/>
      <c r="I148" s="153"/>
      <c r="J148" s="153"/>
      <c r="K148" s="153"/>
      <c r="L148" s="153"/>
      <c r="M148" s="153"/>
      <c r="N148" s="153"/>
      <c r="O148" s="153"/>
      <c r="P148" s="153"/>
      <c r="Q148" s="153"/>
      <c r="R148" s="206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</row>
    <row r="149" spans="6:31" ht="12.75">
      <c r="F149" s="153"/>
      <c r="G149" s="153"/>
      <c r="H149" s="266"/>
      <c r="I149" s="153"/>
      <c r="J149" s="153"/>
      <c r="K149" s="153"/>
      <c r="L149" s="153"/>
      <c r="M149" s="153"/>
      <c r="N149" s="153"/>
      <c r="O149" s="153"/>
      <c r="P149" s="153"/>
      <c r="Q149" s="153"/>
      <c r="R149" s="206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</row>
    <row r="150" spans="6:31" ht="12.75">
      <c r="F150" s="153"/>
      <c r="G150" s="153"/>
      <c r="H150" s="266"/>
      <c r="I150" s="153"/>
      <c r="J150" s="153"/>
      <c r="K150" s="153"/>
      <c r="L150" s="153"/>
      <c r="M150" s="153"/>
      <c r="N150" s="153"/>
      <c r="O150" s="153"/>
      <c r="P150" s="153"/>
      <c r="Q150" s="153"/>
      <c r="R150" s="206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</row>
    <row r="151" spans="6:31" ht="12.75">
      <c r="F151" s="153"/>
      <c r="G151" s="153"/>
      <c r="H151" s="266"/>
      <c r="I151" s="153"/>
      <c r="J151" s="153"/>
      <c r="K151" s="153"/>
      <c r="L151" s="153"/>
      <c r="M151" s="153"/>
      <c r="N151" s="153"/>
      <c r="O151" s="153"/>
      <c r="P151" s="153"/>
      <c r="Q151" s="153"/>
      <c r="R151" s="206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</row>
    <row r="152" spans="6:31" ht="12.75">
      <c r="F152" s="153"/>
      <c r="G152" s="153"/>
      <c r="H152" s="266"/>
      <c r="I152" s="153"/>
      <c r="J152" s="153"/>
      <c r="K152" s="153"/>
      <c r="L152" s="153"/>
      <c r="M152" s="153"/>
      <c r="N152" s="153"/>
      <c r="O152" s="153"/>
      <c r="P152" s="153"/>
      <c r="Q152" s="153"/>
      <c r="R152" s="206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</row>
    <row r="153" spans="6:31" ht="12.75">
      <c r="F153" s="153"/>
      <c r="G153" s="153"/>
      <c r="H153" s="266"/>
      <c r="I153" s="153"/>
      <c r="J153" s="153"/>
      <c r="K153" s="153"/>
      <c r="L153" s="153"/>
      <c r="M153" s="153"/>
      <c r="N153" s="153"/>
      <c r="O153" s="153"/>
      <c r="P153" s="153"/>
      <c r="Q153" s="153"/>
      <c r="R153" s="206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</row>
    <row r="154" spans="6:31" ht="12.75">
      <c r="F154" s="153"/>
      <c r="G154" s="153"/>
      <c r="H154" s="266"/>
      <c r="I154" s="153"/>
      <c r="J154" s="153"/>
      <c r="K154" s="153"/>
      <c r="L154" s="153"/>
      <c r="M154" s="153"/>
      <c r="N154" s="153"/>
      <c r="O154" s="153"/>
      <c r="P154" s="153"/>
      <c r="Q154" s="153"/>
      <c r="R154" s="206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</row>
    <row r="155" spans="6:31" ht="12.75">
      <c r="F155" s="153"/>
      <c r="G155" s="153"/>
      <c r="H155" s="266"/>
      <c r="I155" s="153"/>
      <c r="J155" s="153"/>
      <c r="K155" s="153"/>
      <c r="L155" s="153"/>
      <c r="M155" s="153"/>
      <c r="N155" s="153"/>
      <c r="O155" s="153"/>
      <c r="P155" s="153"/>
      <c r="Q155" s="153"/>
      <c r="R155" s="206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</row>
    <row r="156" spans="6:31" ht="12.75">
      <c r="F156" s="153"/>
      <c r="G156" s="153"/>
      <c r="H156" s="266"/>
      <c r="I156" s="153"/>
      <c r="J156" s="153"/>
      <c r="K156" s="153"/>
      <c r="L156" s="153"/>
      <c r="M156" s="153"/>
      <c r="N156" s="153"/>
      <c r="O156" s="153"/>
      <c r="P156" s="153"/>
      <c r="Q156" s="153"/>
      <c r="R156" s="206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</row>
    <row r="157" spans="6:31" ht="12.75">
      <c r="F157" s="153"/>
      <c r="G157" s="153"/>
      <c r="H157" s="266"/>
      <c r="I157" s="153"/>
      <c r="J157" s="153"/>
      <c r="K157" s="153"/>
      <c r="L157" s="153"/>
      <c r="M157" s="153"/>
      <c r="N157" s="153"/>
      <c r="O157" s="153"/>
      <c r="P157" s="153"/>
      <c r="Q157" s="153"/>
      <c r="R157" s="206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</row>
    <row r="158" spans="6:31" ht="12.75">
      <c r="F158" s="153"/>
      <c r="G158" s="153"/>
      <c r="H158" s="266"/>
      <c r="I158" s="153"/>
      <c r="J158" s="153"/>
      <c r="K158" s="153"/>
      <c r="L158" s="153"/>
      <c r="M158" s="153"/>
      <c r="N158" s="153"/>
      <c r="O158" s="153"/>
      <c r="P158" s="153"/>
      <c r="Q158" s="153"/>
      <c r="R158" s="206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</row>
    <row r="159" spans="6:31" ht="12.75">
      <c r="F159" s="153"/>
      <c r="G159" s="153"/>
      <c r="H159" s="266"/>
      <c r="I159" s="153"/>
      <c r="J159" s="153"/>
      <c r="K159" s="153"/>
      <c r="L159" s="153"/>
      <c r="M159" s="153"/>
      <c r="N159" s="153"/>
      <c r="O159" s="153"/>
      <c r="P159" s="153"/>
      <c r="Q159" s="153"/>
      <c r="R159" s="206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</row>
    <row r="160" spans="6:31" ht="12.75">
      <c r="F160" s="153"/>
      <c r="G160" s="153"/>
      <c r="H160" s="266"/>
      <c r="I160" s="153"/>
      <c r="J160" s="153"/>
      <c r="K160" s="153"/>
      <c r="L160" s="153"/>
      <c r="M160" s="153"/>
      <c r="N160" s="153"/>
      <c r="O160" s="153"/>
      <c r="P160" s="153"/>
      <c r="Q160" s="153"/>
      <c r="R160" s="206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</row>
    <row r="161" spans="6:31" ht="12.75">
      <c r="F161" s="153"/>
      <c r="G161" s="153"/>
      <c r="H161" s="266"/>
      <c r="I161" s="153"/>
      <c r="J161" s="153"/>
      <c r="K161" s="153"/>
      <c r="L161" s="153"/>
      <c r="M161" s="153"/>
      <c r="N161" s="153"/>
      <c r="O161" s="153"/>
      <c r="P161" s="153"/>
      <c r="Q161" s="153"/>
      <c r="R161" s="206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</row>
    <row r="162" spans="6:31" ht="12.75">
      <c r="F162" s="153"/>
      <c r="G162" s="153"/>
      <c r="H162" s="266"/>
      <c r="I162" s="153"/>
      <c r="J162" s="153"/>
      <c r="K162" s="153"/>
      <c r="L162" s="153"/>
      <c r="M162" s="153"/>
      <c r="N162" s="153"/>
      <c r="O162" s="153"/>
      <c r="P162" s="153"/>
      <c r="Q162" s="153"/>
      <c r="R162" s="206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</row>
    <row r="163" spans="6:31" ht="12.75">
      <c r="F163" s="153"/>
      <c r="G163" s="153"/>
      <c r="H163" s="266"/>
      <c r="I163" s="153"/>
      <c r="J163" s="153"/>
      <c r="K163" s="153"/>
      <c r="L163" s="153"/>
      <c r="M163" s="153"/>
      <c r="N163" s="153"/>
      <c r="O163" s="153"/>
      <c r="P163" s="153"/>
      <c r="Q163" s="153"/>
      <c r="R163" s="206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</row>
    <row r="164" spans="6:31" ht="12.75">
      <c r="F164" s="153"/>
      <c r="G164" s="153"/>
      <c r="H164" s="266"/>
      <c r="I164" s="153"/>
      <c r="J164" s="153"/>
      <c r="K164" s="153"/>
      <c r="L164" s="153"/>
      <c r="M164" s="153"/>
      <c r="N164" s="153"/>
      <c r="O164" s="153"/>
      <c r="P164" s="153"/>
      <c r="Q164" s="153"/>
      <c r="R164" s="206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</row>
    <row r="165" spans="6:31" ht="12.75">
      <c r="F165" s="153"/>
      <c r="G165" s="153"/>
      <c r="H165" s="266"/>
      <c r="I165" s="153"/>
      <c r="J165" s="153"/>
      <c r="K165" s="153"/>
      <c r="L165" s="153"/>
      <c r="M165" s="153"/>
      <c r="N165" s="153"/>
      <c r="O165" s="153"/>
      <c r="P165" s="153"/>
      <c r="Q165" s="153"/>
      <c r="R165" s="206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</row>
    <row r="166" spans="6:31" ht="12.75">
      <c r="F166" s="153"/>
      <c r="G166" s="153"/>
      <c r="H166" s="266"/>
      <c r="I166" s="153"/>
      <c r="J166" s="153"/>
      <c r="K166" s="153"/>
      <c r="L166" s="153"/>
      <c r="M166" s="153"/>
      <c r="N166" s="153"/>
      <c r="O166" s="153"/>
      <c r="P166" s="153"/>
      <c r="Q166" s="153"/>
      <c r="R166" s="206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</row>
    <row r="167" spans="6:31" ht="12.75">
      <c r="F167" s="153"/>
      <c r="G167" s="153"/>
      <c r="H167" s="266"/>
      <c r="I167" s="153"/>
      <c r="J167" s="153"/>
      <c r="K167" s="153"/>
      <c r="L167" s="153"/>
      <c r="M167" s="153"/>
      <c r="N167" s="153"/>
      <c r="O167" s="153"/>
      <c r="P167" s="153"/>
      <c r="Q167" s="153"/>
      <c r="R167" s="206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</row>
    <row r="168" spans="6:31" ht="12.75">
      <c r="F168" s="153"/>
      <c r="G168" s="153"/>
      <c r="H168" s="266"/>
      <c r="I168" s="153"/>
      <c r="J168" s="153"/>
      <c r="K168" s="153"/>
      <c r="L168" s="153"/>
      <c r="M168" s="153"/>
      <c r="N168" s="153"/>
      <c r="O168" s="153"/>
      <c r="P168" s="153"/>
      <c r="Q168" s="153"/>
      <c r="R168" s="206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</row>
    <row r="169" spans="6:31" ht="12.75">
      <c r="F169" s="153"/>
      <c r="G169" s="153"/>
      <c r="H169" s="266"/>
      <c r="I169" s="153"/>
      <c r="J169" s="153"/>
      <c r="K169" s="153"/>
      <c r="L169" s="153"/>
      <c r="M169" s="153"/>
      <c r="N169" s="153"/>
      <c r="O169" s="153"/>
      <c r="P169" s="153"/>
      <c r="Q169" s="153"/>
      <c r="R169" s="206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</row>
    <row r="170" spans="6:31" ht="12.75">
      <c r="F170" s="153"/>
      <c r="G170" s="153"/>
      <c r="H170" s="266"/>
      <c r="I170" s="153"/>
      <c r="J170" s="153"/>
      <c r="K170" s="153"/>
      <c r="L170" s="153"/>
      <c r="M170" s="153"/>
      <c r="N170" s="153"/>
      <c r="O170" s="153"/>
      <c r="P170" s="153"/>
      <c r="Q170" s="153"/>
      <c r="R170" s="206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</row>
    <row r="171" spans="6:31" ht="12.75">
      <c r="F171" s="153"/>
      <c r="G171" s="153"/>
      <c r="H171" s="266"/>
      <c r="I171" s="153"/>
      <c r="J171" s="153"/>
      <c r="K171" s="153"/>
      <c r="L171" s="153"/>
      <c r="M171" s="153"/>
      <c r="N171" s="153"/>
      <c r="O171" s="153"/>
      <c r="P171" s="153"/>
      <c r="Q171" s="153"/>
      <c r="R171" s="206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</row>
    <row r="172" spans="6:31" ht="12.75">
      <c r="F172" s="153"/>
      <c r="G172" s="153"/>
      <c r="H172" s="266"/>
      <c r="I172" s="153"/>
      <c r="J172" s="153"/>
      <c r="K172" s="153"/>
      <c r="L172" s="153"/>
      <c r="M172" s="153"/>
      <c r="N172" s="153"/>
      <c r="O172" s="153"/>
      <c r="P172" s="153"/>
      <c r="Q172" s="153"/>
      <c r="R172" s="206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</row>
    <row r="173" spans="6:31" ht="12.75">
      <c r="F173" s="153"/>
      <c r="G173" s="153"/>
      <c r="H173" s="266"/>
      <c r="I173" s="153"/>
      <c r="J173" s="153"/>
      <c r="K173" s="153"/>
      <c r="L173" s="153"/>
      <c r="M173" s="153"/>
      <c r="N173" s="153"/>
      <c r="O173" s="153"/>
      <c r="P173" s="153"/>
      <c r="Q173" s="153"/>
      <c r="R173" s="206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</row>
    <row r="174" spans="6:31" ht="12.75">
      <c r="F174" s="153"/>
      <c r="G174" s="153"/>
      <c r="H174" s="266"/>
      <c r="I174" s="153"/>
      <c r="J174" s="153"/>
      <c r="K174" s="153"/>
      <c r="L174" s="153"/>
      <c r="M174" s="153"/>
      <c r="N174" s="153"/>
      <c r="O174" s="153"/>
      <c r="P174" s="153"/>
      <c r="Q174" s="153"/>
      <c r="R174" s="206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</row>
    <row r="175" spans="6:31" ht="12.75">
      <c r="F175" s="153"/>
      <c r="G175" s="153"/>
      <c r="H175" s="266"/>
      <c r="I175" s="153"/>
      <c r="J175" s="153"/>
      <c r="K175" s="153"/>
      <c r="L175" s="153"/>
      <c r="M175" s="153"/>
      <c r="N175" s="153"/>
      <c r="O175" s="153"/>
      <c r="P175" s="153"/>
      <c r="Q175" s="153"/>
      <c r="R175" s="206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</row>
    <row r="176" spans="6:31" ht="12.75">
      <c r="F176" s="153"/>
      <c r="G176" s="153"/>
      <c r="H176" s="266"/>
      <c r="I176" s="153"/>
      <c r="J176" s="153"/>
      <c r="K176" s="153"/>
      <c r="L176" s="153"/>
      <c r="M176" s="153"/>
      <c r="N176" s="153"/>
      <c r="O176" s="153"/>
      <c r="P176" s="153"/>
      <c r="Q176" s="153"/>
      <c r="R176" s="206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</row>
    <row r="177" spans="6:31" ht="12.75">
      <c r="F177" s="153"/>
      <c r="G177" s="153"/>
      <c r="H177" s="266"/>
      <c r="I177" s="153"/>
      <c r="J177" s="153"/>
      <c r="K177" s="153"/>
      <c r="L177" s="153"/>
      <c r="M177" s="153"/>
      <c r="N177" s="153"/>
      <c r="O177" s="153"/>
      <c r="P177" s="153"/>
      <c r="Q177" s="153"/>
      <c r="R177" s="206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</row>
    <row r="178" spans="6:31" ht="12.75">
      <c r="F178" s="153"/>
      <c r="G178" s="153"/>
      <c r="H178" s="266"/>
      <c r="I178" s="153"/>
      <c r="J178" s="153"/>
      <c r="K178" s="153"/>
      <c r="L178" s="153"/>
      <c r="M178" s="153"/>
      <c r="N178" s="153"/>
      <c r="O178" s="153"/>
      <c r="P178" s="153"/>
      <c r="Q178" s="153"/>
      <c r="R178" s="206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</row>
    <row r="179" spans="6:31" ht="12.75">
      <c r="F179" s="153"/>
      <c r="G179" s="153"/>
      <c r="H179" s="266"/>
      <c r="I179" s="153"/>
      <c r="J179" s="153"/>
      <c r="K179" s="153"/>
      <c r="L179" s="153"/>
      <c r="M179" s="153"/>
      <c r="N179" s="153"/>
      <c r="O179" s="153"/>
      <c r="P179" s="153"/>
      <c r="Q179" s="153"/>
      <c r="R179" s="206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</row>
    <row r="180" spans="6:31" ht="12.75">
      <c r="F180" s="153"/>
      <c r="G180" s="153"/>
      <c r="H180" s="266"/>
      <c r="I180" s="153"/>
      <c r="J180" s="153"/>
      <c r="K180" s="153"/>
      <c r="L180" s="153"/>
      <c r="M180" s="153"/>
      <c r="N180" s="153"/>
      <c r="O180" s="153"/>
      <c r="P180" s="153"/>
      <c r="Q180" s="153"/>
      <c r="R180" s="206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</row>
    <row r="181" spans="6:31" ht="12.75">
      <c r="F181" s="153"/>
      <c r="G181" s="153"/>
      <c r="H181" s="266"/>
      <c r="I181" s="153"/>
      <c r="J181" s="153"/>
      <c r="K181" s="153"/>
      <c r="L181" s="153"/>
      <c r="M181" s="153"/>
      <c r="N181" s="153"/>
      <c r="O181" s="153"/>
      <c r="P181" s="153"/>
      <c r="Q181" s="153"/>
      <c r="R181" s="206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</row>
    <row r="182" spans="6:31" ht="12.75">
      <c r="F182" s="153"/>
      <c r="G182" s="153"/>
      <c r="H182" s="266"/>
      <c r="I182" s="153"/>
      <c r="J182" s="153"/>
      <c r="K182" s="153"/>
      <c r="L182" s="153"/>
      <c r="M182" s="153"/>
      <c r="N182" s="153"/>
      <c r="O182" s="153"/>
      <c r="P182" s="153"/>
      <c r="Q182" s="153"/>
      <c r="R182" s="206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</row>
    <row r="183" spans="6:31" ht="12.75">
      <c r="F183" s="153"/>
      <c r="G183" s="153"/>
      <c r="H183" s="266"/>
      <c r="I183" s="153"/>
      <c r="J183" s="153"/>
      <c r="K183" s="153"/>
      <c r="L183" s="153"/>
      <c r="M183" s="153"/>
      <c r="N183" s="153"/>
      <c r="O183" s="153"/>
      <c r="P183" s="153"/>
      <c r="Q183" s="153"/>
      <c r="R183" s="206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</row>
    <row r="184" spans="6:31" ht="12.75">
      <c r="F184" s="153"/>
      <c r="G184" s="153"/>
      <c r="H184" s="266"/>
      <c r="I184" s="153"/>
      <c r="J184" s="153"/>
      <c r="K184" s="153"/>
      <c r="L184" s="153"/>
      <c r="M184" s="153"/>
      <c r="N184" s="153"/>
      <c r="O184" s="153"/>
      <c r="P184" s="153"/>
      <c r="Q184" s="153"/>
      <c r="R184" s="206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</row>
    <row r="185" spans="6:31" ht="12.75">
      <c r="F185" s="153"/>
      <c r="G185" s="153"/>
      <c r="H185" s="266"/>
      <c r="I185" s="153"/>
      <c r="J185" s="153"/>
      <c r="K185" s="153"/>
      <c r="L185" s="153"/>
      <c r="M185" s="153"/>
      <c r="N185" s="153"/>
      <c r="O185" s="153"/>
      <c r="P185" s="153"/>
      <c r="Q185" s="153"/>
      <c r="R185" s="206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</row>
    <row r="186" spans="6:31" ht="12.75">
      <c r="F186" s="153"/>
      <c r="G186" s="153"/>
      <c r="H186" s="266"/>
      <c r="I186" s="153"/>
      <c r="J186" s="153"/>
      <c r="K186" s="153"/>
      <c r="L186" s="153"/>
      <c r="M186" s="153"/>
      <c r="N186" s="153"/>
      <c r="O186" s="153"/>
      <c r="P186" s="153"/>
      <c r="Q186" s="153"/>
      <c r="R186" s="206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</row>
    <row r="187" spans="6:31" ht="12.75">
      <c r="F187" s="153"/>
      <c r="G187" s="153"/>
      <c r="H187" s="266"/>
      <c r="I187" s="153"/>
      <c r="J187" s="153"/>
      <c r="K187" s="153"/>
      <c r="L187" s="153"/>
      <c r="M187" s="153"/>
      <c r="N187" s="153"/>
      <c r="O187" s="153"/>
      <c r="P187" s="153"/>
      <c r="Q187" s="153"/>
      <c r="R187" s="206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</row>
    <row r="188" spans="6:31" ht="12.75">
      <c r="F188" s="153"/>
      <c r="G188" s="153"/>
      <c r="H188" s="266"/>
      <c r="I188" s="153"/>
      <c r="J188" s="153"/>
      <c r="K188" s="153"/>
      <c r="L188" s="153"/>
      <c r="M188" s="153"/>
      <c r="N188" s="153"/>
      <c r="O188" s="153"/>
      <c r="P188" s="153"/>
      <c r="Q188" s="153"/>
      <c r="R188" s="206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</row>
    <row r="189" spans="6:31" ht="12.75">
      <c r="F189" s="153"/>
      <c r="G189" s="153"/>
      <c r="H189" s="266"/>
      <c r="I189" s="153"/>
      <c r="J189" s="153"/>
      <c r="K189" s="153"/>
      <c r="L189" s="153"/>
      <c r="M189" s="153"/>
      <c r="N189" s="153"/>
      <c r="O189" s="153"/>
      <c r="P189" s="153"/>
      <c r="Q189" s="153"/>
      <c r="R189" s="206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</row>
    <row r="190" spans="6:31" ht="12.75">
      <c r="F190" s="153"/>
      <c r="G190" s="153"/>
      <c r="H190" s="266"/>
      <c r="I190" s="153"/>
      <c r="J190" s="153"/>
      <c r="K190" s="153"/>
      <c r="L190" s="153"/>
      <c r="M190" s="153"/>
      <c r="N190" s="153"/>
      <c r="O190" s="153"/>
      <c r="P190" s="153"/>
      <c r="Q190" s="153"/>
      <c r="R190" s="206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</row>
    <row r="191" spans="6:31" ht="12.75">
      <c r="F191" s="153"/>
      <c r="G191" s="153"/>
      <c r="H191" s="266"/>
      <c r="I191" s="153"/>
      <c r="J191" s="153"/>
      <c r="K191" s="153"/>
      <c r="L191" s="153"/>
      <c r="M191" s="153"/>
      <c r="N191" s="153"/>
      <c r="O191" s="153"/>
      <c r="P191" s="153"/>
      <c r="Q191" s="153"/>
      <c r="R191" s="206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</row>
    <row r="192" spans="6:31" ht="12.75">
      <c r="F192" s="153"/>
      <c r="G192" s="153"/>
      <c r="H192" s="266"/>
      <c r="I192" s="153"/>
      <c r="J192" s="153"/>
      <c r="K192" s="153"/>
      <c r="L192" s="153"/>
      <c r="M192" s="153"/>
      <c r="N192" s="153"/>
      <c r="O192" s="153"/>
      <c r="P192" s="153"/>
      <c r="Q192" s="153"/>
      <c r="R192" s="206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</row>
    <row r="193" spans="6:31" ht="12.75">
      <c r="F193" s="153"/>
      <c r="G193" s="153"/>
      <c r="H193" s="266"/>
      <c r="I193" s="153"/>
      <c r="J193" s="153"/>
      <c r="K193" s="153"/>
      <c r="L193" s="153"/>
      <c r="M193" s="153"/>
      <c r="N193" s="153"/>
      <c r="O193" s="153"/>
      <c r="P193" s="153"/>
      <c r="Q193" s="153"/>
      <c r="R193" s="206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</row>
    <row r="194" spans="6:31" ht="12.75">
      <c r="F194" s="153"/>
      <c r="G194" s="153"/>
      <c r="H194" s="266"/>
      <c r="I194" s="153"/>
      <c r="J194" s="153"/>
      <c r="K194" s="153"/>
      <c r="L194" s="153"/>
      <c r="M194" s="153"/>
      <c r="N194" s="153"/>
      <c r="O194" s="153"/>
      <c r="P194" s="153"/>
      <c r="Q194" s="153"/>
      <c r="R194" s="206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</row>
    <row r="195" spans="6:31" ht="12.75">
      <c r="F195" s="153"/>
      <c r="G195" s="153"/>
      <c r="H195" s="266"/>
      <c r="I195" s="153"/>
      <c r="J195" s="153"/>
      <c r="K195" s="153"/>
      <c r="L195" s="153"/>
      <c r="M195" s="153"/>
      <c r="N195" s="153"/>
      <c r="O195" s="153"/>
      <c r="P195" s="153"/>
      <c r="Q195" s="153"/>
      <c r="R195" s="206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</row>
    <row r="196" spans="6:31" ht="12.75">
      <c r="F196" s="153"/>
      <c r="G196" s="153"/>
      <c r="H196" s="266"/>
      <c r="I196" s="153"/>
      <c r="J196" s="153"/>
      <c r="K196" s="153"/>
      <c r="L196" s="153"/>
      <c r="M196" s="153"/>
      <c r="N196" s="153"/>
      <c r="O196" s="153"/>
      <c r="P196" s="153"/>
      <c r="Q196" s="153"/>
      <c r="R196" s="206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</row>
    <row r="197" spans="6:31" ht="12.75">
      <c r="F197" s="153"/>
      <c r="G197" s="153"/>
      <c r="H197" s="266"/>
      <c r="I197" s="153"/>
      <c r="J197" s="153"/>
      <c r="K197" s="153"/>
      <c r="L197" s="153"/>
      <c r="M197" s="153"/>
      <c r="N197" s="153"/>
      <c r="O197" s="153"/>
      <c r="P197" s="153"/>
      <c r="Q197" s="153"/>
      <c r="R197" s="206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</row>
    <row r="198" spans="6:31" ht="12.75">
      <c r="F198" s="153"/>
      <c r="G198" s="153"/>
      <c r="H198" s="266"/>
      <c r="I198" s="153"/>
      <c r="J198" s="153"/>
      <c r="K198" s="153"/>
      <c r="L198" s="153"/>
      <c r="M198" s="153"/>
      <c r="N198" s="153"/>
      <c r="O198" s="153"/>
      <c r="P198" s="153"/>
      <c r="Q198" s="153"/>
      <c r="R198" s="206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3"/>
  <sheetViews>
    <sheetView workbookViewId="0" topLeftCell="A1">
      <selection activeCell="A6" sqref="A6"/>
    </sheetView>
  </sheetViews>
  <sheetFormatPr defaultColWidth="9.140625" defaultRowHeight="12.75"/>
  <cols>
    <col min="1" max="1" width="2.7109375" style="22" customWidth="1"/>
    <col min="2" max="2" width="9.8515625" style="19" customWidth="1"/>
    <col min="3" max="3" width="12.140625" style="19" customWidth="1"/>
    <col min="4" max="4" width="13.28125" style="19" customWidth="1"/>
    <col min="5" max="5" width="9.8515625" style="19" bestFit="1" customWidth="1"/>
    <col min="6" max="6" width="12.28125" style="22" bestFit="1" customWidth="1"/>
    <col min="7" max="7" width="7.140625" style="19" bestFit="1" customWidth="1"/>
    <col min="8" max="8" width="13.57421875" style="19" customWidth="1"/>
    <col min="9" max="9" width="11.421875" style="19" customWidth="1"/>
    <col min="10" max="10" width="10.140625" style="19" customWidth="1"/>
    <col min="11" max="11" width="12.140625" style="19" customWidth="1"/>
    <col min="12" max="12" width="12.57421875" style="19" customWidth="1"/>
    <col min="13" max="16384" width="9.140625" style="19" customWidth="1"/>
  </cols>
  <sheetData>
    <row r="1" ht="15.75">
      <c r="A1" s="49" t="s">
        <v>400</v>
      </c>
    </row>
    <row r="2" ht="5.25" customHeight="1"/>
    <row r="3" spans="2:9" ht="27" customHeight="1">
      <c r="B3" s="66"/>
      <c r="C3" s="11" t="s">
        <v>435</v>
      </c>
      <c r="D3" s="11" t="s">
        <v>436</v>
      </c>
      <c r="E3" s="12" t="s">
        <v>437</v>
      </c>
      <c r="F3" s="12" t="s">
        <v>438</v>
      </c>
      <c r="G3" s="11" t="s">
        <v>439</v>
      </c>
      <c r="H3" s="12" t="s">
        <v>101</v>
      </c>
      <c r="I3" s="11" t="s">
        <v>102</v>
      </c>
    </row>
    <row r="4" spans="2:9" ht="23.25" customHeight="1">
      <c r="B4" s="67" t="s">
        <v>402</v>
      </c>
      <c r="C4" s="24">
        <f>Awards!$A$32</f>
        <v>25</v>
      </c>
      <c r="D4" s="51">
        <f>Losses!$A$52</f>
        <v>46</v>
      </c>
      <c r="E4" s="253">
        <f>'Projects Pipeline'!A24</f>
        <v>17</v>
      </c>
      <c r="F4" s="68">
        <f>'Proposals Due'!A9</f>
        <v>2</v>
      </c>
      <c r="G4" s="51">
        <f>EOI!A$5</f>
        <v>0</v>
      </c>
      <c r="H4" s="51">
        <f>'Leads 02'!A114</f>
        <v>107</v>
      </c>
      <c r="I4" s="51">
        <f>'NO BID'!A12</f>
        <v>8</v>
      </c>
    </row>
    <row r="5" spans="2:9" ht="16.5" customHeight="1">
      <c r="B5" s="67" t="s">
        <v>401</v>
      </c>
      <c r="C5" s="69">
        <f>Awards!$I$32</f>
        <v>802539.6825396825</v>
      </c>
      <c r="D5" s="69">
        <f>Losses!$I$52</f>
        <v>5844105.856666666</v>
      </c>
      <c r="E5" s="69">
        <f>'Projects Pipeline'!G24</f>
        <v>1567434.0666666667</v>
      </c>
      <c r="F5" s="70">
        <f>'Proposals Due'!$F$8</f>
        <v>111875</v>
      </c>
      <c r="G5" s="51" t="s">
        <v>403</v>
      </c>
      <c r="H5" s="70">
        <f>'Leads 02'!F114</f>
        <v>9892584.333333332</v>
      </c>
      <c r="I5" s="69">
        <f>'NO BID'!$F$12</f>
        <v>901500</v>
      </c>
    </row>
    <row r="6" ht="8.25" customHeight="1"/>
    <row r="7" spans="2:11" ht="12.75" customHeight="1">
      <c r="B7" s="71" t="s">
        <v>430</v>
      </c>
      <c r="C7" s="72"/>
      <c r="D7" s="72"/>
      <c r="E7" s="72"/>
      <c r="F7" s="73"/>
      <c r="G7" s="72"/>
      <c r="H7" s="74"/>
      <c r="I7" s="377" t="s">
        <v>25</v>
      </c>
      <c r="J7" s="378"/>
      <c r="K7" s="378"/>
    </row>
    <row r="8" spans="2:11" ht="25.5" customHeight="1">
      <c r="B8" s="374" t="s">
        <v>431</v>
      </c>
      <c r="C8" s="375"/>
      <c r="D8" s="375"/>
      <c r="E8" s="375"/>
      <c r="F8" s="375"/>
      <c r="G8" s="375"/>
      <c r="H8" s="376"/>
      <c r="I8" s="377"/>
      <c r="J8" s="378"/>
      <c r="K8" s="378"/>
    </row>
    <row r="9" spans="2:11" ht="12.75">
      <c r="B9" s="75" t="s">
        <v>432</v>
      </c>
      <c r="C9" s="76"/>
      <c r="D9" s="76"/>
      <c r="E9" s="76"/>
      <c r="F9" s="77"/>
      <c r="G9" s="76"/>
      <c r="H9" s="78"/>
      <c r="I9" s="377"/>
      <c r="J9" s="378"/>
      <c r="K9" s="378"/>
    </row>
    <row r="10" spans="2:11" ht="12.75">
      <c r="B10" s="75" t="s">
        <v>433</v>
      </c>
      <c r="C10" s="76"/>
      <c r="D10" s="76"/>
      <c r="E10" s="76"/>
      <c r="F10" s="77"/>
      <c r="G10" s="76"/>
      <c r="H10" s="78"/>
      <c r="I10" s="377"/>
      <c r="J10" s="378"/>
      <c r="K10" s="378"/>
    </row>
    <row r="11" spans="2:11" ht="12.75">
      <c r="B11" s="75" t="s">
        <v>441</v>
      </c>
      <c r="C11" s="76"/>
      <c r="D11" s="76"/>
      <c r="E11" s="76"/>
      <c r="F11" s="77"/>
      <c r="G11" s="76"/>
      <c r="H11" s="78"/>
      <c r="I11" s="377"/>
      <c r="J11" s="378"/>
      <c r="K11" s="378"/>
    </row>
    <row r="12" spans="2:11" ht="22.5" customHeight="1">
      <c r="B12" s="79" t="s">
        <v>434</v>
      </c>
      <c r="C12" s="80"/>
      <c r="D12" s="80"/>
      <c r="E12" s="80"/>
      <c r="F12" s="81"/>
      <c r="G12" s="80"/>
      <c r="H12" s="82"/>
      <c r="I12" s="377"/>
      <c r="J12" s="378"/>
      <c r="K12" s="378"/>
    </row>
    <row r="13" ht="8.25" customHeight="1">
      <c r="I13" s="65"/>
    </row>
    <row r="14" spans="1:12" s="93" customFormat="1" ht="15" customHeight="1">
      <c r="A14" s="94" t="s">
        <v>77</v>
      </c>
      <c r="F14" s="89"/>
      <c r="H14" s="94" t="s">
        <v>78</v>
      </c>
      <c r="L14" s="89"/>
    </row>
    <row r="15" spans="1:11" s="93" customFormat="1" ht="12">
      <c r="A15" s="89"/>
      <c r="B15" s="90" t="s">
        <v>399</v>
      </c>
      <c r="C15" s="91" t="s">
        <v>386</v>
      </c>
      <c r="D15" s="91" t="s">
        <v>440</v>
      </c>
      <c r="E15" s="91" t="s">
        <v>391</v>
      </c>
      <c r="F15" s="92" t="s">
        <v>380</v>
      </c>
      <c r="G15" s="89"/>
      <c r="H15" s="147" t="s">
        <v>386</v>
      </c>
      <c r="I15" s="147" t="s">
        <v>440</v>
      </c>
      <c r="J15" s="147" t="s">
        <v>391</v>
      </c>
      <c r="K15" s="148" t="s">
        <v>380</v>
      </c>
    </row>
    <row r="16" spans="1:11" s="93" customFormat="1" ht="12">
      <c r="A16" s="89"/>
      <c r="B16" s="328"/>
      <c r="C16" s="303"/>
      <c r="D16" s="303"/>
      <c r="E16" s="302"/>
      <c r="F16" s="307"/>
      <c r="G16" s="89"/>
      <c r="H16" s="294"/>
      <c r="I16" s="303"/>
      <c r="J16" s="295"/>
      <c r="K16" s="296"/>
    </row>
    <row r="17" spans="6:11" ht="12.75">
      <c r="F17" s="327">
        <f>SUM(F16:F16)</f>
        <v>0</v>
      </c>
      <c r="K17" s="327">
        <f>SUM(K16:K16)</f>
        <v>0</v>
      </c>
    </row>
    <row r="18" spans="1:8" s="93" customFormat="1" ht="12">
      <c r="A18" s="94" t="s">
        <v>79</v>
      </c>
      <c r="E18" s="95"/>
      <c r="G18" s="89"/>
      <c r="H18" s="94" t="s">
        <v>442</v>
      </c>
    </row>
    <row r="19" spans="1:11" s="93" customFormat="1" ht="12">
      <c r="A19" s="89">
        <v>1</v>
      </c>
      <c r="B19" s="328">
        <v>37525</v>
      </c>
      <c r="C19" s="361" t="s">
        <v>68</v>
      </c>
      <c r="D19" s="294" t="s">
        <v>258</v>
      </c>
      <c r="E19" s="295" t="s">
        <v>405</v>
      </c>
      <c r="F19" s="296">
        <f>61014/6*5</f>
        <v>50845</v>
      </c>
      <c r="G19" s="362">
        <v>0.9</v>
      </c>
      <c r="H19" s="235" t="s">
        <v>426</v>
      </c>
      <c r="I19" s="91" t="s">
        <v>440</v>
      </c>
      <c r="J19" s="91" t="s">
        <v>391</v>
      </c>
      <c r="K19" s="92" t="s">
        <v>380</v>
      </c>
    </row>
    <row r="20" spans="1:11" s="93" customFormat="1" ht="12">
      <c r="A20" s="89">
        <f>A19+1</f>
        <v>2</v>
      </c>
      <c r="B20" s="328">
        <v>37554</v>
      </c>
      <c r="C20" s="93" t="s">
        <v>339</v>
      </c>
      <c r="D20" s="363" t="s">
        <v>328</v>
      </c>
      <c r="E20" s="295" t="s">
        <v>195</v>
      </c>
      <c r="F20" s="296">
        <v>165200</v>
      </c>
      <c r="G20" s="362">
        <v>0.5</v>
      </c>
      <c r="H20" s="332"/>
      <c r="I20" s="303"/>
      <c r="J20" s="302"/>
      <c r="K20" s="296"/>
    </row>
    <row r="21" spans="1:11" s="93" customFormat="1" ht="12">
      <c r="A21" s="89">
        <f aca="true" t="shared" si="0" ref="A21:A35">A20+1</f>
        <v>3</v>
      </c>
      <c r="B21" s="328">
        <v>37482</v>
      </c>
      <c r="C21" s="303" t="s">
        <v>348</v>
      </c>
      <c r="D21" s="303" t="s">
        <v>336</v>
      </c>
      <c r="E21" s="302" t="s">
        <v>87</v>
      </c>
      <c r="F21" s="296">
        <v>85470</v>
      </c>
      <c r="G21" s="362">
        <v>0.5</v>
      </c>
      <c r="H21" s="332"/>
      <c r="I21" s="303"/>
      <c r="J21" s="302"/>
      <c r="K21" s="296"/>
    </row>
    <row r="22" spans="1:11" s="93" customFormat="1" ht="36">
      <c r="A22" s="89">
        <f t="shared" si="0"/>
        <v>4</v>
      </c>
      <c r="B22" s="328">
        <v>37509</v>
      </c>
      <c r="C22" s="304" t="s">
        <v>338</v>
      </c>
      <c r="D22" s="305" t="s">
        <v>69</v>
      </c>
      <c r="E22" s="302" t="s">
        <v>87</v>
      </c>
      <c r="F22" s="296">
        <v>12200</v>
      </c>
      <c r="G22" s="362">
        <v>0.4</v>
      </c>
      <c r="H22" s="332"/>
      <c r="I22" s="303"/>
      <c r="J22" s="302"/>
      <c r="K22" s="296"/>
    </row>
    <row r="23" spans="1:11" s="93" customFormat="1" ht="24.75" customHeight="1">
      <c r="A23" s="89">
        <f t="shared" si="0"/>
        <v>5</v>
      </c>
      <c r="B23" s="328">
        <v>37508</v>
      </c>
      <c r="C23" s="304" t="s">
        <v>338</v>
      </c>
      <c r="D23" s="305" t="s">
        <v>96</v>
      </c>
      <c r="E23" s="302" t="s">
        <v>405</v>
      </c>
      <c r="F23" s="296">
        <v>19586.4</v>
      </c>
      <c r="G23" s="362">
        <v>0.4</v>
      </c>
      <c r="H23" s="332"/>
      <c r="I23" s="303"/>
      <c r="J23" s="302"/>
      <c r="K23" s="296"/>
    </row>
    <row r="24" spans="1:11" s="93" customFormat="1" ht="39" customHeight="1">
      <c r="A24" s="89">
        <f t="shared" si="0"/>
        <v>6</v>
      </c>
      <c r="B24" s="328">
        <v>37554</v>
      </c>
      <c r="C24" s="364" t="s">
        <v>340</v>
      </c>
      <c r="D24" s="303" t="s">
        <v>259</v>
      </c>
      <c r="E24" s="302" t="s">
        <v>8</v>
      </c>
      <c r="F24" s="296">
        <v>75000</v>
      </c>
      <c r="G24" s="362">
        <v>0.2</v>
      </c>
      <c r="H24" s="332"/>
      <c r="I24" s="303"/>
      <c r="J24" s="302"/>
      <c r="K24" s="296"/>
    </row>
    <row r="25" spans="1:11" s="93" customFormat="1" ht="12">
      <c r="A25" s="89">
        <f t="shared" si="0"/>
        <v>7</v>
      </c>
      <c r="B25" s="328">
        <v>37495</v>
      </c>
      <c r="C25" s="308" t="s">
        <v>341</v>
      </c>
      <c r="D25" s="303" t="s">
        <v>26</v>
      </c>
      <c r="E25" s="302" t="s">
        <v>405</v>
      </c>
      <c r="F25" s="296">
        <f>122450/6*5</f>
        <v>102041.66666666666</v>
      </c>
      <c r="G25" s="362">
        <v>0.2</v>
      </c>
      <c r="H25" s="332"/>
      <c r="I25" s="303"/>
      <c r="J25" s="302"/>
      <c r="K25" s="296"/>
    </row>
    <row r="26" spans="1:11" s="93" customFormat="1" ht="36">
      <c r="A26" s="89">
        <f t="shared" si="0"/>
        <v>8</v>
      </c>
      <c r="B26" s="328">
        <v>37494</v>
      </c>
      <c r="C26" s="304" t="s">
        <v>342</v>
      </c>
      <c r="D26" s="305" t="s">
        <v>331</v>
      </c>
      <c r="E26" s="302" t="s">
        <v>405</v>
      </c>
      <c r="F26" s="296">
        <v>75000</v>
      </c>
      <c r="G26" s="362">
        <v>0.2</v>
      </c>
      <c r="H26" s="332"/>
      <c r="I26" s="303"/>
      <c r="J26" s="302"/>
      <c r="K26" s="296"/>
    </row>
    <row r="27" spans="1:11" s="93" customFormat="1" ht="12">
      <c r="A27" s="89">
        <f t="shared" si="0"/>
        <v>9</v>
      </c>
      <c r="B27" s="328">
        <v>37559</v>
      </c>
      <c r="C27" s="294" t="s">
        <v>343</v>
      </c>
      <c r="D27" s="303" t="s">
        <v>329</v>
      </c>
      <c r="E27" s="295" t="s">
        <v>405</v>
      </c>
      <c r="F27" s="296">
        <v>33750</v>
      </c>
      <c r="G27" s="362">
        <v>0.1</v>
      </c>
      <c r="H27" s="332"/>
      <c r="I27" s="303"/>
      <c r="J27" s="302"/>
      <c r="K27" s="296"/>
    </row>
    <row r="28" spans="1:11" s="93" customFormat="1" ht="24">
      <c r="A28" s="89">
        <f t="shared" si="0"/>
        <v>10</v>
      </c>
      <c r="B28" s="328">
        <v>37489</v>
      </c>
      <c r="C28" s="308" t="s">
        <v>341</v>
      </c>
      <c r="D28" s="305" t="s">
        <v>260</v>
      </c>
      <c r="E28" s="243" t="s">
        <v>8</v>
      </c>
      <c r="F28" s="296">
        <f>2700*12</f>
        <v>32400</v>
      </c>
      <c r="G28" s="362">
        <v>0.1</v>
      </c>
      <c r="H28" s="332"/>
      <c r="I28" s="303"/>
      <c r="J28" s="302"/>
      <c r="K28" s="296"/>
    </row>
    <row r="29" spans="1:11" s="93" customFormat="1" ht="54" customHeight="1">
      <c r="A29" s="89">
        <f t="shared" si="0"/>
        <v>11</v>
      </c>
      <c r="B29" s="328">
        <v>37435</v>
      </c>
      <c r="C29" s="305" t="s">
        <v>349</v>
      </c>
      <c r="D29" s="305" t="s">
        <v>70</v>
      </c>
      <c r="E29" s="295" t="s">
        <v>405</v>
      </c>
      <c r="F29" s="296">
        <v>124275</v>
      </c>
      <c r="G29" s="295">
        <v>0.01</v>
      </c>
      <c r="H29" s="94" t="s">
        <v>443</v>
      </c>
      <c r="K29" s="234">
        <f>SUM(K20:K28)</f>
        <v>0</v>
      </c>
    </row>
    <row r="30" spans="1:12" s="93" customFormat="1" ht="12.75">
      <c r="A30" s="89">
        <f t="shared" si="0"/>
        <v>12</v>
      </c>
      <c r="B30" s="328">
        <v>37413</v>
      </c>
      <c r="C30" s="294" t="s">
        <v>350</v>
      </c>
      <c r="D30" s="305" t="s">
        <v>220</v>
      </c>
      <c r="E30" s="295" t="s">
        <v>22</v>
      </c>
      <c r="F30" s="296">
        <v>35000</v>
      </c>
      <c r="G30" s="295">
        <v>0.01</v>
      </c>
      <c r="H30" s="333">
        <v>37570</v>
      </c>
      <c r="I30" s="294" t="s">
        <v>450</v>
      </c>
      <c r="J30" s="303" t="s">
        <v>451</v>
      </c>
      <c r="K30" s="295" t="s">
        <v>87</v>
      </c>
      <c r="L30" s="351">
        <f>122450/6*5</f>
        <v>102041.66666666666</v>
      </c>
    </row>
    <row r="31" spans="1:12" s="93" customFormat="1" ht="24">
      <c r="A31" s="89">
        <f t="shared" si="0"/>
        <v>13</v>
      </c>
      <c r="B31" s="328">
        <v>37400</v>
      </c>
      <c r="C31" s="305" t="s">
        <v>349</v>
      </c>
      <c r="D31" s="329" t="s">
        <v>298</v>
      </c>
      <c r="E31" s="295" t="s">
        <v>189</v>
      </c>
      <c r="F31" s="296">
        <v>327500</v>
      </c>
      <c r="G31" s="295">
        <v>0.01</v>
      </c>
      <c r="H31" s="333"/>
      <c r="I31" s="294"/>
      <c r="J31" s="303"/>
      <c r="K31" s="295"/>
      <c r="L31" s="296"/>
    </row>
    <row r="32" spans="1:12" s="93" customFormat="1" ht="12">
      <c r="A32" s="89">
        <f t="shared" si="0"/>
        <v>14</v>
      </c>
      <c r="B32" s="328">
        <v>37399</v>
      </c>
      <c r="C32" s="294" t="s">
        <v>339</v>
      </c>
      <c r="D32" s="363" t="s">
        <v>299</v>
      </c>
      <c r="E32" s="295" t="s">
        <v>21</v>
      </c>
      <c r="F32" s="296">
        <v>74166</v>
      </c>
      <c r="G32" s="295">
        <v>0.01</v>
      </c>
      <c r="H32" s="333"/>
      <c r="I32" s="294"/>
      <c r="J32" s="303"/>
      <c r="K32" s="295"/>
      <c r="L32" s="296"/>
    </row>
    <row r="33" spans="1:12" s="331" customFormat="1" ht="24">
      <c r="A33" s="89">
        <f t="shared" si="0"/>
        <v>15</v>
      </c>
      <c r="B33" s="328">
        <v>37355</v>
      </c>
      <c r="C33" s="305" t="s">
        <v>347</v>
      </c>
      <c r="D33" s="329" t="s">
        <v>106</v>
      </c>
      <c r="E33" s="295" t="s">
        <v>8</v>
      </c>
      <c r="F33" s="296">
        <v>275000</v>
      </c>
      <c r="G33" s="295">
        <v>0.01</v>
      </c>
      <c r="H33" s="93"/>
      <c r="I33" s="93"/>
      <c r="J33" s="93"/>
      <c r="K33" s="93"/>
      <c r="L33" s="330">
        <f>SUM(L30:L32)</f>
        <v>102041.66666666666</v>
      </c>
    </row>
    <row r="34" spans="1:7" s="93" customFormat="1" ht="24">
      <c r="A34" s="89">
        <f t="shared" si="0"/>
        <v>16</v>
      </c>
      <c r="B34" s="328">
        <v>37309</v>
      </c>
      <c r="C34" s="305" t="s">
        <v>346</v>
      </c>
      <c r="D34" s="305" t="s">
        <v>261</v>
      </c>
      <c r="E34" s="295" t="s">
        <v>418</v>
      </c>
      <c r="F34" s="296">
        <v>30000</v>
      </c>
      <c r="G34" s="295">
        <v>0.01</v>
      </c>
    </row>
    <row r="35" spans="1:7" s="93" customFormat="1" ht="24">
      <c r="A35" s="89">
        <f t="shared" si="0"/>
        <v>17</v>
      </c>
      <c r="B35" s="328">
        <v>37264</v>
      </c>
      <c r="C35" s="308" t="s">
        <v>341</v>
      </c>
      <c r="D35" s="305" t="s">
        <v>297</v>
      </c>
      <c r="E35" s="243" t="s">
        <v>410</v>
      </c>
      <c r="F35" s="296">
        <v>50000</v>
      </c>
      <c r="G35" s="295">
        <v>0.01</v>
      </c>
    </row>
    <row r="36" s="93" customFormat="1" ht="12">
      <c r="G36" s="89"/>
    </row>
    <row r="37" s="93" customFormat="1" ht="12">
      <c r="G37" s="89"/>
    </row>
    <row r="38" s="93" customFormat="1" ht="26.25" customHeight="1"/>
    <row r="39" s="93" customFormat="1" ht="27" customHeight="1"/>
    <row r="40" s="93" customFormat="1" ht="27" customHeight="1"/>
    <row r="41" s="93" customFormat="1" ht="27.75" customHeight="1"/>
    <row r="42" s="93" customFormat="1" ht="28.5" customHeight="1"/>
    <row r="43" spans="1:11" s="93" customFormat="1" ht="28.5" customHeight="1">
      <c r="A43" s="89"/>
      <c r="H43" s="19"/>
      <c r="I43" s="19"/>
      <c r="J43" s="19"/>
      <c r="K43" s="19"/>
    </row>
    <row r="44" spans="1:11" s="93" customFormat="1" ht="28.5" customHeight="1">
      <c r="A44" s="89"/>
      <c r="H44" s="19"/>
      <c r="I44" s="19"/>
      <c r="J44" s="19"/>
      <c r="K44" s="19"/>
    </row>
    <row r="45" spans="2:11" s="93" customFormat="1" ht="24.75" customHeight="1">
      <c r="B45" s="19"/>
      <c r="C45" s="19"/>
      <c r="D45" s="19"/>
      <c r="E45" s="19"/>
      <c r="F45" s="22"/>
      <c r="H45" s="19"/>
      <c r="I45" s="19"/>
      <c r="J45" s="19"/>
      <c r="K45" s="19"/>
    </row>
    <row r="46" spans="2:11" s="93" customFormat="1" ht="24" customHeight="1">
      <c r="B46" s="19"/>
      <c r="C46" s="19"/>
      <c r="D46" s="19"/>
      <c r="E46" s="19"/>
      <c r="F46" s="22"/>
      <c r="G46" s="96"/>
      <c r="H46" s="19"/>
      <c r="I46" s="19"/>
      <c r="J46" s="19"/>
      <c r="K46" s="19"/>
    </row>
    <row r="47" spans="2:11" s="93" customFormat="1" ht="24" customHeight="1">
      <c r="B47" s="19"/>
      <c r="C47" s="19"/>
      <c r="D47" s="19"/>
      <c r="E47" s="19"/>
      <c r="F47" s="22"/>
      <c r="G47" s="96"/>
      <c r="H47" s="19"/>
      <c r="I47" s="19"/>
      <c r="J47" s="19"/>
      <c r="K47" s="19"/>
    </row>
    <row r="48" spans="2:11" s="93" customFormat="1" ht="24" customHeight="1">
      <c r="B48" s="19"/>
      <c r="C48" s="19"/>
      <c r="D48" s="19"/>
      <c r="E48" s="19"/>
      <c r="F48" s="22"/>
      <c r="G48" s="96"/>
      <c r="H48" s="19"/>
      <c r="I48" s="19"/>
      <c r="J48" s="19"/>
      <c r="K48" s="19"/>
    </row>
    <row r="49" spans="2:11" s="93" customFormat="1" ht="38.25" customHeight="1">
      <c r="B49" s="19"/>
      <c r="C49" s="19"/>
      <c r="D49" s="19"/>
      <c r="E49" s="19"/>
      <c r="F49" s="22"/>
      <c r="H49" s="19"/>
      <c r="I49" s="19"/>
      <c r="J49" s="19"/>
      <c r="K49" s="19"/>
    </row>
    <row r="50" spans="2:11" s="93" customFormat="1" ht="21.75" customHeight="1">
      <c r="B50" s="19"/>
      <c r="C50" s="19"/>
      <c r="D50" s="19"/>
      <c r="E50" s="19"/>
      <c r="F50" s="22"/>
      <c r="H50" s="19"/>
      <c r="I50" s="19"/>
      <c r="J50" s="19"/>
      <c r="K50" s="19"/>
    </row>
    <row r="51" spans="2:11" s="93" customFormat="1" ht="12.75">
      <c r="B51" s="19"/>
      <c r="C51" s="19"/>
      <c r="D51" s="19"/>
      <c r="E51" s="19"/>
      <c r="F51" s="22"/>
      <c r="H51" s="19"/>
      <c r="I51" s="19"/>
      <c r="J51" s="19"/>
      <c r="K51" s="19"/>
    </row>
    <row r="53" ht="12.75">
      <c r="A53" s="89"/>
    </row>
  </sheetData>
  <mergeCells count="2">
    <mergeCell ref="B8:H8"/>
    <mergeCell ref="I7:K12"/>
  </mergeCells>
  <printOptions/>
  <pageMargins left="0.75" right="0.75" top="1" bottom="1" header="0.5" footer="0.5"/>
  <pageSetup fitToHeight="1" fitToWidth="1" horizontalDpi="300" verticalDpi="300" orientation="portrait" scale="66" r:id="rId2"/>
  <headerFooter alignWithMargins="0">
    <oddHeader>&amp;L&amp;"Arial,Полужирный"&amp;12CONFIDENTIAL&amp;C&amp;"Arial,Полужирный"&amp;12Proposal and Lead Tracker&amp;R&amp;"Arial,Полужирный"&amp;12&amp;D</oddHeader>
    <oddFooter>&amp;LMichael Kozloff&amp;CPage &amp;P&amp;RV6 Technologies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840"/>
  <sheetViews>
    <sheetView tabSelected="1" workbookViewId="0" topLeftCell="A1">
      <pane xSplit="11" ySplit="2" topLeftCell="L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L5" sqref="L5"/>
    </sheetView>
  </sheetViews>
  <sheetFormatPr defaultColWidth="9.140625" defaultRowHeight="12.75"/>
  <cols>
    <col min="1" max="1" width="3.7109375" style="65" customWidth="1"/>
    <col min="2" max="2" width="3.140625" style="19" customWidth="1"/>
    <col min="3" max="3" width="10.28125" style="19" bestFit="1" customWidth="1"/>
    <col min="4" max="4" width="16.28125" style="19" customWidth="1"/>
    <col min="5" max="5" width="18.57421875" style="19" customWidth="1"/>
    <col min="6" max="6" width="7.57421875" style="65" customWidth="1"/>
    <col min="7" max="7" width="15.57421875" style="19" customWidth="1"/>
    <col min="8" max="8" width="7.421875" style="106" customWidth="1"/>
    <col min="9" max="9" width="12.140625" style="19" customWidth="1"/>
    <col min="10" max="10" width="6.8515625" style="19" customWidth="1"/>
    <col min="11" max="11" width="22.28125" style="19" customWidth="1"/>
    <col min="12" max="12" width="10.28125" style="107" customWidth="1"/>
    <col min="13" max="13" width="11.57421875" style="19" bestFit="1" customWidth="1"/>
    <col min="14" max="15" width="5.7109375" style="65" customWidth="1"/>
    <col min="16" max="16" width="6.421875" style="65" bestFit="1" customWidth="1"/>
    <col min="17" max="17" width="7.140625" style="65" bestFit="1" customWidth="1"/>
    <col min="18" max="19" width="5.7109375" style="65" customWidth="1"/>
    <col min="20" max="22" width="6.421875" style="65" bestFit="1" customWidth="1"/>
    <col min="23" max="23" width="5.7109375" style="65" customWidth="1"/>
    <col min="24" max="26" width="18.57421875" style="19" customWidth="1"/>
    <col min="27" max="27" width="26.8515625" style="19" customWidth="1"/>
    <col min="28" max="16384" width="9.140625" style="19" customWidth="1"/>
  </cols>
  <sheetData>
    <row r="1" spans="15:23" ht="25.5" customHeight="1">
      <c r="O1" s="131"/>
      <c r="P1" s="131"/>
      <c r="Q1" s="131"/>
      <c r="R1" s="379" t="s">
        <v>109</v>
      </c>
      <c r="S1" s="379"/>
      <c r="T1" s="379"/>
      <c r="U1" s="379"/>
      <c r="V1" s="379"/>
      <c r="W1" s="379"/>
    </row>
    <row r="2" spans="1:27" s="108" customFormat="1" ht="36.75" customHeight="1">
      <c r="A2" s="108" t="s">
        <v>91</v>
      </c>
      <c r="B2" s="108" t="s">
        <v>110</v>
      </c>
      <c r="C2" s="108" t="s">
        <v>2</v>
      </c>
      <c r="D2" s="108" t="s">
        <v>112</v>
      </c>
      <c r="E2" s="108" t="s">
        <v>113</v>
      </c>
      <c r="F2" s="108" t="s">
        <v>204</v>
      </c>
      <c r="G2" s="108" t="s">
        <v>114</v>
      </c>
      <c r="H2" s="108" t="s">
        <v>224</v>
      </c>
      <c r="I2" s="108" t="s">
        <v>458</v>
      </c>
      <c r="J2" s="108" t="s">
        <v>459</v>
      </c>
      <c r="K2" s="108" t="s">
        <v>115</v>
      </c>
      <c r="L2" s="108" t="s">
        <v>209</v>
      </c>
      <c r="M2" s="108" t="s">
        <v>206</v>
      </c>
      <c r="N2" s="116" t="s">
        <v>183</v>
      </c>
      <c r="O2" s="116" t="s">
        <v>180</v>
      </c>
      <c r="P2" s="116" t="s">
        <v>181</v>
      </c>
      <c r="Q2" s="116" t="s">
        <v>182</v>
      </c>
      <c r="R2" s="114" t="s">
        <v>199</v>
      </c>
      <c r="S2" s="114" t="s">
        <v>116</v>
      </c>
      <c r="T2" s="114" t="s">
        <v>117</v>
      </c>
      <c r="U2" s="114" t="s">
        <v>118</v>
      </c>
      <c r="V2" s="114" t="s">
        <v>119</v>
      </c>
      <c r="W2" s="114" t="s">
        <v>186</v>
      </c>
      <c r="X2" s="108" t="s">
        <v>184</v>
      </c>
      <c r="Y2" s="108" t="s">
        <v>120</v>
      </c>
      <c r="Z2" s="108" t="s">
        <v>121</v>
      </c>
      <c r="AA2" s="108" t="s">
        <v>122</v>
      </c>
    </row>
    <row r="3" spans="3:8" ht="12.75">
      <c r="C3" s="103"/>
      <c r="D3" s="103"/>
      <c r="H3" s="109"/>
    </row>
    <row r="4" spans="1:23" ht="12.75">
      <c r="A4" s="139" t="s">
        <v>20</v>
      </c>
      <c r="C4" s="103"/>
      <c r="E4" s="84" t="s">
        <v>3</v>
      </c>
      <c r="F4" s="104"/>
      <c r="H4" s="109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12.75">
      <c r="A5" s="214">
        <v>0</v>
      </c>
      <c r="C5" s="103"/>
      <c r="E5" s="77"/>
      <c r="F5" s="104"/>
      <c r="H5" s="109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ht="12.75">
      <c r="A6" s="241">
        <f>A5+1</f>
        <v>1</v>
      </c>
      <c r="C6" s="162">
        <v>37554</v>
      </c>
      <c r="D6" s="17" t="s">
        <v>339</v>
      </c>
      <c r="E6" s="137" t="s">
        <v>328</v>
      </c>
      <c r="F6" s="33" t="s">
        <v>195</v>
      </c>
      <c r="G6" s="157">
        <v>165200</v>
      </c>
      <c r="H6" s="34">
        <v>0.5</v>
      </c>
      <c r="I6" s="383">
        <f>G6*H6</f>
        <v>82600</v>
      </c>
      <c r="J6" s="382" t="str">
        <f>IF(RANK(I6,I$6:I$22,0)=1,"A",IF((SUMPRODUCT(I$6:I6))&lt;=20%*I$24,"A",IF((SUMPRODUCT(I$6:I6))&lt;=70%*I$24,"B","C")))</f>
        <v>A</v>
      </c>
      <c r="K6" s="17" t="s">
        <v>293</v>
      </c>
      <c r="L6" s="107">
        <v>0</v>
      </c>
      <c r="M6" s="142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2.75">
      <c r="A7" s="241">
        <f>A6+1</f>
        <v>2</v>
      </c>
      <c r="C7" s="162">
        <v>37525</v>
      </c>
      <c r="D7" s="381" t="s">
        <v>68</v>
      </c>
      <c r="E7" s="17" t="s">
        <v>258</v>
      </c>
      <c r="F7" s="33" t="s">
        <v>405</v>
      </c>
      <c r="G7" s="157">
        <f>61014/6*5</f>
        <v>50845</v>
      </c>
      <c r="H7" s="34">
        <v>0.9</v>
      </c>
      <c r="I7" s="383">
        <f>G7*H7</f>
        <v>45760.5</v>
      </c>
      <c r="J7" s="382" t="str">
        <f>IF(RANK(I7,I$6:I$22,0)=1,"A",IF((SUMPRODUCT(I$6:I7))&lt;=20%*I$24,"A",IF((SUMPRODUCT(I$6:I7))&lt;=70%*I$24,"B","C")))</f>
        <v>B</v>
      </c>
      <c r="K7" s="17" t="s">
        <v>293</v>
      </c>
      <c r="L7" s="107">
        <v>0</v>
      </c>
      <c r="M7" s="142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ht="12.75">
      <c r="A8" s="65">
        <f>A7+1</f>
        <v>3</v>
      </c>
      <c r="C8" s="162">
        <v>37482</v>
      </c>
      <c r="D8" s="154" t="s">
        <v>348</v>
      </c>
      <c r="E8" s="186" t="s">
        <v>336</v>
      </c>
      <c r="F8" s="156" t="s">
        <v>87</v>
      </c>
      <c r="G8" s="157">
        <v>85470</v>
      </c>
      <c r="H8" s="34">
        <v>0.5</v>
      </c>
      <c r="I8" s="383">
        <f>G8*H8</f>
        <v>42735</v>
      </c>
      <c r="J8" s="382" t="str">
        <f>IF(RANK(I8,I$6:I$22,0)=1,"A",IF((SUMPRODUCT(I$6:I8))&lt;=20%*I$24,"A",IF((SUMPRODUCT(I$6:I8))&lt;=70%*I$24,"B","C")))</f>
        <v>B</v>
      </c>
      <c r="K8" s="17" t="s">
        <v>293</v>
      </c>
      <c r="L8" s="107">
        <v>0</v>
      </c>
      <c r="M8" s="142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ht="12.75">
      <c r="A9" s="65">
        <f>A8+1</f>
        <v>4</v>
      </c>
      <c r="C9" s="162">
        <v>37495</v>
      </c>
      <c r="D9" s="120" t="s">
        <v>341</v>
      </c>
      <c r="E9" s="186" t="s">
        <v>26</v>
      </c>
      <c r="F9" s="156" t="s">
        <v>405</v>
      </c>
      <c r="G9" s="157">
        <f>122450/6*5</f>
        <v>102041.66666666666</v>
      </c>
      <c r="H9" s="34">
        <v>0.2</v>
      </c>
      <c r="I9" s="383">
        <f>G9*H9</f>
        <v>20408.333333333332</v>
      </c>
      <c r="J9" s="382" t="str">
        <f>IF(RANK(I9,I$6:I$22,0)=1,"A",IF((SUMPRODUCT(I$6:I9))&lt;=20%*I$24,"A",IF((SUMPRODUCT(I$6:I9))&lt;=70%*I$24,"B","C")))</f>
        <v>C</v>
      </c>
      <c r="K9" s="17" t="s">
        <v>362</v>
      </c>
      <c r="L9" s="107">
        <v>0</v>
      </c>
      <c r="M9" s="142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12.75">
      <c r="A10" s="65">
        <f>A9+1</f>
        <v>5</v>
      </c>
      <c r="C10" s="162">
        <v>37554</v>
      </c>
      <c r="D10" s="236" t="s">
        <v>340</v>
      </c>
      <c r="E10" s="186" t="s">
        <v>259</v>
      </c>
      <c r="F10" s="230" t="s">
        <v>8</v>
      </c>
      <c r="G10" s="157">
        <v>75000</v>
      </c>
      <c r="H10" s="34">
        <v>0.2</v>
      </c>
      <c r="I10" s="383">
        <f>G10*H10</f>
        <v>15000</v>
      </c>
      <c r="J10" s="382" t="str">
        <f>IF(RANK(I10,I$6:I$22,0)=1,"A",IF((SUMPRODUCT(I$6:I10))&lt;=20%*I$24,"A",IF((SUMPRODUCT(I$6:I10))&lt;=70%*I$24,"B","C")))</f>
        <v>C</v>
      </c>
      <c r="K10" s="17" t="s">
        <v>362</v>
      </c>
      <c r="M10" s="142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25.5">
      <c r="A11" s="65">
        <f>A10+1</f>
        <v>6</v>
      </c>
      <c r="C11" s="162">
        <v>37494</v>
      </c>
      <c r="D11" s="128" t="s">
        <v>342</v>
      </c>
      <c r="E11" s="20" t="s">
        <v>331</v>
      </c>
      <c r="F11" s="156" t="s">
        <v>405</v>
      </c>
      <c r="G11" s="157">
        <v>75000</v>
      </c>
      <c r="H11" s="34">
        <v>0.2</v>
      </c>
      <c r="I11" s="383">
        <f>G11*H11</f>
        <v>15000</v>
      </c>
      <c r="J11" s="382" t="str">
        <f>IF(RANK(I11,I$6:I$22,0)=1,"A",IF((SUMPRODUCT(I$6:I11))&lt;=20%*I$24,"A",IF((SUMPRODUCT(I$6:I11))&lt;=70%*I$24,"B","C")))</f>
        <v>C</v>
      </c>
      <c r="K11" s="20" t="s">
        <v>362</v>
      </c>
      <c r="L11" s="107">
        <v>0</v>
      </c>
      <c r="M11" s="142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25.5">
      <c r="A12" s="65">
        <f>A11+1</f>
        <v>7</v>
      </c>
      <c r="C12" s="162">
        <v>37508</v>
      </c>
      <c r="D12" s="128" t="s">
        <v>338</v>
      </c>
      <c r="E12" s="20" t="s">
        <v>96</v>
      </c>
      <c r="F12" s="156" t="s">
        <v>405</v>
      </c>
      <c r="G12" s="157">
        <v>19586.4</v>
      </c>
      <c r="H12" s="34">
        <v>0.4</v>
      </c>
      <c r="I12" s="383">
        <f>G12*H12</f>
        <v>7834.560000000001</v>
      </c>
      <c r="J12" s="382" t="str">
        <f>IF(RANK(I12,I$6:I$22,0)=1,"A",IF((SUMPRODUCT(I$6:I12))&lt;=20%*I$24,"A",IF((SUMPRODUCT(I$6:I12))&lt;=70%*I$24,"B","C")))</f>
        <v>C</v>
      </c>
      <c r="K12" s="20" t="s">
        <v>362</v>
      </c>
      <c r="L12" s="107">
        <v>0</v>
      </c>
      <c r="M12" s="142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25.5">
      <c r="A13" s="65">
        <f>A12+1</f>
        <v>8</v>
      </c>
      <c r="C13" s="162">
        <v>37509</v>
      </c>
      <c r="D13" s="128" t="s">
        <v>338</v>
      </c>
      <c r="E13" s="20" t="s">
        <v>69</v>
      </c>
      <c r="F13" s="156" t="s">
        <v>87</v>
      </c>
      <c r="G13" s="157">
        <v>12200</v>
      </c>
      <c r="H13" s="34">
        <v>0.4</v>
      </c>
      <c r="I13" s="383">
        <f>G13*H13</f>
        <v>4880</v>
      </c>
      <c r="J13" s="382" t="str">
        <f>IF(RANK(I13,I$6:I$22,0)=1,"A",IF((SUMPRODUCT(I$6:I13))&lt;=20%*I$24,"A",IF((SUMPRODUCT(I$6:I13))&lt;=70%*I$24,"B","C")))</f>
        <v>C</v>
      </c>
      <c r="K13" s="20" t="s">
        <v>362</v>
      </c>
      <c r="L13" s="107">
        <v>0</v>
      </c>
      <c r="M13" s="142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ht="12.75">
      <c r="A14" s="65">
        <f>A13+1</f>
        <v>9</v>
      </c>
      <c r="C14" s="162">
        <v>37559</v>
      </c>
      <c r="D14" s="173" t="s">
        <v>343</v>
      </c>
      <c r="E14" s="186" t="s">
        <v>329</v>
      </c>
      <c r="F14" s="33" t="s">
        <v>405</v>
      </c>
      <c r="G14" s="157">
        <v>33750</v>
      </c>
      <c r="H14" s="34">
        <v>0.1</v>
      </c>
      <c r="I14" s="383">
        <f>G14*H14</f>
        <v>3375</v>
      </c>
      <c r="J14" s="382" t="str">
        <f>IF(RANK(I14,I$6:I$22,0)=1,"A",IF((SUMPRODUCT(I$6:I14))&lt;=20%*I$24,"A",IF((SUMPRODUCT(I$6:I14))&lt;=70%*I$24,"B","C")))</f>
        <v>C</v>
      </c>
      <c r="K14" s="174" t="s">
        <v>362</v>
      </c>
      <c r="L14" s="107">
        <v>0</v>
      </c>
      <c r="M14" s="142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ht="12.75">
      <c r="A15" s="65">
        <f>A14+1</f>
        <v>10</v>
      </c>
      <c r="C15" s="162">
        <v>37400</v>
      </c>
      <c r="D15" s="20" t="s">
        <v>349</v>
      </c>
      <c r="E15" s="85" t="s">
        <v>298</v>
      </c>
      <c r="F15" s="33" t="s">
        <v>189</v>
      </c>
      <c r="G15" s="157">
        <v>327500</v>
      </c>
      <c r="H15" s="34">
        <v>0.01</v>
      </c>
      <c r="I15" s="383">
        <f>G15*H15</f>
        <v>3275</v>
      </c>
      <c r="J15" s="382" t="str">
        <f>IF(RANK(I15,I$6:I$22,0)=1,"A",IF((SUMPRODUCT(I$6:I15))&lt;=20%*I$24,"A",IF((SUMPRODUCT(I$6:I15))&lt;=70%*I$24,"B","C")))</f>
        <v>C</v>
      </c>
      <c r="K15" s="20" t="s">
        <v>74</v>
      </c>
      <c r="L15" s="107">
        <v>0</v>
      </c>
      <c r="M15" s="142"/>
      <c r="N15" s="107"/>
      <c r="O15" s="107"/>
      <c r="P15" s="107">
        <v>0.5</v>
      </c>
      <c r="Q15" s="107"/>
      <c r="R15" s="107"/>
      <c r="S15" s="107"/>
      <c r="T15" s="107"/>
      <c r="U15" s="107"/>
      <c r="V15" s="107"/>
      <c r="W15" s="107"/>
    </row>
    <row r="16" spans="1:23" ht="25.5">
      <c r="A16" s="65">
        <f>A15+1</f>
        <v>11</v>
      </c>
      <c r="C16" s="162">
        <v>37489</v>
      </c>
      <c r="D16" s="120" t="s">
        <v>341</v>
      </c>
      <c r="E16" s="20" t="s">
        <v>260</v>
      </c>
      <c r="F16" s="40" t="s">
        <v>8</v>
      </c>
      <c r="G16" s="157">
        <f>2700*12</f>
        <v>32400</v>
      </c>
      <c r="H16" s="33">
        <v>0.1</v>
      </c>
      <c r="I16" s="383">
        <f>G16*H16</f>
        <v>3240</v>
      </c>
      <c r="J16" s="382" t="str">
        <f>IF(RANK(I16,I$6:I$22,0)=1,"A",IF((SUMPRODUCT(I$6:I16))&lt;=20%*I$24,"A",IF((SUMPRODUCT(I$6:I16))&lt;=70%*I$24,"B","C")))</f>
        <v>C</v>
      </c>
      <c r="K16" s="20" t="s">
        <v>362</v>
      </c>
      <c r="L16" s="107">
        <v>0</v>
      </c>
      <c r="M16" s="142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:23" ht="12.75">
      <c r="A17" s="65">
        <f>A16+1</f>
        <v>12</v>
      </c>
      <c r="C17" s="162">
        <v>37355</v>
      </c>
      <c r="D17" s="20" t="s">
        <v>347</v>
      </c>
      <c r="E17" s="85" t="s">
        <v>106</v>
      </c>
      <c r="F17" s="33" t="s">
        <v>8</v>
      </c>
      <c r="G17" s="157">
        <v>275000</v>
      </c>
      <c r="H17" s="33">
        <v>0.01</v>
      </c>
      <c r="I17" s="383">
        <f>G17*H17</f>
        <v>2750</v>
      </c>
      <c r="J17" s="382" t="str">
        <f>IF(RANK(I17,I$6:I$22,0)=1,"A",IF((SUMPRODUCT(I$6:I17))&lt;=20%*I$24,"A",IF((SUMPRODUCT(I$6:I17))&lt;=70%*I$24,"B","C")))</f>
        <v>C</v>
      </c>
      <c r="K17" s="20" t="s">
        <v>74</v>
      </c>
      <c r="L17" s="107">
        <v>0</v>
      </c>
      <c r="M17" s="142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3" ht="12.75">
      <c r="A18" s="65">
        <f>A17+1</f>
        <v>13</v>
      </c>
      <c r="C18" s="194">
        <v>37435</v>
      </c>
      <c r="D18" s="20" t="s">
        <v>349</v>
      </c>
      <c r="E18" s="20" t="s">
        <v>70</v>
      </c>
      <c r="F18" s="33" t="s">
        <v>405</v>
      </c>
      <c r="G18" s="157">
        <v>124275</v>
      </c>
      <c r="H18" s="33">
        <v>0.01</v>
      </c>
      <c r="I18" s="383">
        <f>G18*H18</f>
        <v>1242.75</v>
      </c>
      <c r="J18" s="382" t="str">
        <f>IF(RANK(I18,I$6:I$22,0)=1,"A",IF((SUMPRODUCT(I$6:I18))&lt;=20%*I$24,"A",IF((SUMPRODUCT(I$6:I18))&lt;=70%*I$24,"B","C")))</f>
        <v>C</v>
      </c>
      <c r="K18" s="20" t="s">
        <v>74</v>
      </c>
      <c r="L18" s="107">
        <v>0</v>
      </c>
      <c r="M18" s="142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3" ht="12.75">
      <c r="A19" s="65">
        <f>A18+1</f>
        <v>14</v>
      </c>
      <c r="C19" s="162">
        <v>37399</v>
      </c>
      <c r="D19" s="17" t="s">
        <v>339</v>
      </c>
      <c r="E19" s="137" t="s">
        <v>299</v>
      </c>
      <c r="F19" s="33" t="s">
        <v>21</v>
      </c>
      <c r="G19" s="157">
        <v>74166</v>
      </c>
      <c r="H19" s="33">
        <v>0.01</v>
      </c>
      <c r="I19" s="383">
        <f>G19*H19</f>
        <v>741.66</v>
      </c>
      <c r="J19" s="382" t="str">
        <f>IF(RANK(I19,I$6:I$22,0)=1,"A",IF((SUMPRODUCT(I$6:I19))&lt;=20%*I$24,"A",IF((SUMPRODUCT(I$6:I19))&lt;=70%*I$24,"B","C")))</f>
        <v>C</v>
      </c>
      <c r="K19" s="20" t="s">
        <v>74</v>
      </c>
      <c r="L19" s="107">
        <v>0</v>
      </c>
      <c r="M19" s="142"/>
      <c r="N19" s="107"/>
      <c r="O19" s="107"/>
      <c r="P19" s="107">
        <v>0.5</v>
      </c>
      <c r="Q19" s="107"/>
      <c r="R19" s="107"/>
      <c r="S19" s="107"/>
      <c r="T19" s="107"/>
      <c r="U19" s="107"/>
      <c r="V19" s="107"/>
      <c r="W19" s="107"/>
    </row>
    <row r="20" spans="1:23" ht="12.75">
      <c r="A20" s="65">
        <f>A19+1</f>
        <v>15</v>
      </c>
      <c r="C20" s="162">
        <v>37264</v>
      </c>
      <c r="D20" s="120" t="s">
        <v>341</v>
      </c>
      <c r="E20" s="20" t="s">
        <v>297</v>
      </c>
      <c r="F20" s="40" t="s">
        <v>410</v>
      </c>
      <c r="G20" s="157">
        <v>50000</v>
      </c>
      <c r="H20" s="33">
        <v>0.01</v>
      </c>
      <c r="I20" s="383">
        <f>G20*H20</f>
        <v>500</v>
      </c>
      <c r="J20" s="382" t="str">
        <f>IF(RANK(I20,I$6:I$22,0)=1,"A",IF((SUMPRODUCT(I$6:I20))&lt;=20%*I$24,"A",IF((SUMPRODUCT(I$6:I20))&lt;=70%*I$24,"B","C")))</f>
        <v>C</v>
      </c>
      <c r="K20" s="20" t="s">
        <v>74</v>
      </c>
      <c r="L20" s="107">
        <v>0</v>
      </c>
      <c r="M20" s="142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ht="12.75">
      <c r="A21" s="65">
        <f>A20+1</f>
        <v>16</v>
      </c>
      <c r="C21" s="194">
        <v>37413</v>
      </c>
      <c r="D21" s="17" t="s">
        <v>350</v>
      </c>
      <c r="E21" s="20" t="s">
        <v>220</v>
      </c>
      <c r="F21" s="33" t="s">
        <v>22</v>
      </c>
      <c r="G21" s="157">
        <v>35000</v>
      </c>
      <c r="H21" s="33">
        <v>0.01</v>
      </c>
      <c r="I21" s="383">
        <f>G21*H21</f>
        <v>350</v>
      </c>
      <c r="J21" s="382" t="str">
        <f>IF(RANK(I21,I$6:I$22,0)=1,"A",IF((SUMPRODUCT(I$6:I21))&lt;=20%*I$24,"A",IF((SUMPRODUCT(I$6:I21))&lt;=70%*I$24,"B","C")))</f>
        <v>C</v>
      </c>
      <c r="K21" s="20" t="s">
        <v>74</v>
      </c>
      <c r="L21" s="107">
        <v>0</v>
      </c>
      <c r="M21" s="142"/>
      <c r="N21" s="107"/>
      <c r="O21" s="107"/>
      <c r="P21" s="107">
        <v>0.5</v>
      </c>
      <c r="Q21" s="107"/>
      <c r="R21" s="107"/>
      <c r="S21" s="107"/>
      <c r="T21" s="107"/>
      <c r="U21" s="107"/>
      <c r="V21" s="107"/>
      <c r="W21" s="107"/>
    </row>
    <row r="22" spans="1:23" ht="12.75">
      <c r="A22" s="65">
        <f>A21+1</f>
        <v>17</v>
      </c>
      <c r="C22" s="162">
        <v>37309</v>
      </c>
      <c r="D22" s="20" t="s">
        <v>346</v>
      </c>
      <c r="E22" s="20" t="s">
        <v>261</v>
      </c>
      <c r="F22" s="33" t="s">
        <v>418</v>
      </c>
      <c r="G22" s="157">
        <v>30000</v>
      </c>
      <c r="H22" s="33">
        <v>0.01</v>
      </c>
      <c r="I22" s="383">
        <f>G22*H22</f>
        <v>300</v>
      </c>
      <c r="J22" s="382" t="str">
        <f>IF(RANK(I22,I$6:I$22,0)=1,"A",IF((SUMPRODUCT(I$6:I22))&lt;=20%*I$24,"A",IF((SUMPRODUCT(I$6:I22))&lt;=70%*I$24,"B","C")))</f>
        <v>C</v>
      </c>
      <c r="K22" s="20" t="s">
        <v>74</v>
      </c>
      <c r="L22" s="107">
        <v>0</v>
      </c>
      <c r="M22" s="142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>
      <c r="C23" s="162"/>
      <c r="D23" s="173"/>
      <c r="E23" s="186"/>
      <c r="F23" s="33"/>
      <c r="G23" s="157"/>
      <c r="H23" s="33"/>
      <c r="I23" s="20"/>
      <c r="J23" s="20"/>
      <c r="K23" s="20"/>
      <c r="M23" s="142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 ht="12.75">
      <c r="A24" s="254">
        <f>MAX(A5:A23)</f>
        <v>17</v>
      </c>
      <c r="C24" s="103"/>
      <c r="D24" s="102"/>
      <c r="E24" s="77"/>
      <c r="F24" s="104"/>
      <c r="G24" s="110">
        <f>SUM(G6:G23)</f>
        <v>1567434.0666666667</v>
      </c>
      <c r="H24" s="256">
        <f>SUMPRODUCT(G6:G23,H6:H23)</f>
        <v>249992.80333333334</v>
      </c>
      <c r="I24" s="110">
        <f>SUM(I6:I23)</f>
        <v>249992.80333333334</v>
      </c>
      <c r="M24" s="142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ht="12.75">
      <c r="A25" s="139" t="s">
        <v>14</v>
      </c>
      <c r="C25" s="103"/>
      <c r="E25" s="77"/>
      <c r="F25" s="104"/>
      <c r="G25" s="325"/>
      <c r="H25" s="326"/>
      <c r="M25" s="142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7" ht="12.75">
      <c r="A26" s="65">
        <v>0</v>
      </c>
      <c r="C26" s="142"/>
      <c r="D26" s="76"/>
      <c r="E26" s="76"/>
      <c r="F26" s="104"/>
      <c r="G26" s="105"/>
      <c r="H26" s="237"/>
      <c r="I26" s="76"/>
      <c r="J26" s="76"/>
      <c r="K26" s="76"/>
      <c r="L26" s="117"/>
      <c r="M26" s="142"/>
      <c r="N26" s="19"/>
      <c r="O26" s="19"/>
      <c r="P26" s="19"/>
      <c r="Q26" s="118"/>
      <c r="R26" s="19"/>
      <c r="S26" s="19"/>
      <c r="T26" s="118"/>
      <c r="U26" s="118"/>
      <c r="V26" s="118"/>
      <c r="W26" s="19"/>
      <c r="AA26" s="198"/>
    </row>
    <row r="27" spans="1:27" ht="25.5">
      <c r="A27" s="65">
        <f aca="true" t="shared" si="0" ref="A27:A39">A26+1</f>
        <v>1</v>
      </c>
      <c r="C27" s="119">
        <v>37515</v>
      </c>
      <c r="D27" s="236" t="s">
        <v>341</v>
      </c>
      <c r="E27" s="186" t="s">
        <v>48</v>
      </c>
      <c r="F27" s="156" t="s">
        <v>197</v>
      </c>
      <c r="G27" s="121">
        <f>280000/6*5</f>
        <v>233333.3333333333</v>
      </c>
      <c r="H27" s="123"/>
      <c r="I27" s="17"/>
      <c r="J27" s="17"/>
      <c r="K27" s="17" t="s">
        <v>363</v>
      </c>
      <c r="L27" s="255">
        <v>0.15</v>
      </c>
      <c r="M27" s="142"/>
      <c r="N27" s="19"/>
      <c r="O27" s="19"/>
      <c r="P27" s="19"/>
      <c r="Q27" s="118">
        <v>1</v>
      </c>
      <c r="R27" s="19"/>
      <c r="S27" s="19">
        <v>100</v>
      </c>
      <c r="T27" s="118">
        <v>1</v>
      </c>
      <c r="U27" s="118"/>
      <c r="V27" s="118"/>
      <c r="W27" s="19"/>
      <c r="AA27" s="198"/>
    </row>
    <row r="28" spans="1:23" ht="25.5">
      <c r="A28" s="65">
        <f t="shared" si="0"/>
        <v>2</v>
      </c>
      <c r="C28" s="119">
        <v>37496</v>
      </c>
      <c r="D28" s="128" t="s">
        <v>338</v>
      </c>
      <c r="E28" s="20" t="s">
        <v>257</v>
      </c>
      <c r="F28" s="156" t="s">
        <v>197</v>
      </c>
      <c r="G28" s="121">
        <v>81340</v>
      </c>
      <c r="H28" s="33">
        <v>0.9</v>
      </c>
      <c r="I28" s="20"/>
      <c r="J28" s="20"/>
      <c r="K28" s="20" t="s">
        <v>362</v>
      </c>
      <c r="L28" s="107">
        <v>0</v>
      </c>
      <c r="M28" s="334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25.5">
      <c r="A29" s="65">
        <f t="shared" si="0"/>
        <v>3</v>
      </c>
      <c r="C29" s="119">
        <v>37489</v>
      </c>
      <c r="D29" s="128" t="s">
        <v>338</v>
      </c>
      <c r="E29" s="20" t="s">
        <v>255</v>
      </c>
      <c r="F29" s="156" t="s">
        <v>197</v>
      </c>
      <c r="G29" s="121">
        <v>28335</v>
      </c>
      <c r="H29" s="33">
        <v>0.9</v>
      </c>
      <c r="I29" s="20"/>
      <c r="J29" s="20"/>
      <c r="K29" s="20" t="s">
        <v>75</v>
      </c>
      <c r="L29" s="255">
        <v>0.9</v>
      </c>
      <c r="M29" s="335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12.75">
      <c r="A30" s="65">
        <f t="shared" si="0"/>
        <v>4</v>
      </c>
      <c r="C30" s="119">
        <v>37456</v>
      </c>
      <c r="D30" s="154" t="s">
        <v>353</v>
      </c>
      <c r="E30" s="186" t="s">
        <v>208</v>
      </c>
      <c r="F30" s="156" t="s">
        <v>189</v>
      </c>
      <c r="G30" s="121">
        <f>(1242750)/31.5</f>
        <v>39452.380952380954</v>
      </c>
      <c r="H30" s="34"/>
      <c r="I30" s="170"/>
      <c r="J30" s="170"/>
      <c r="K30" s="20" t="s">
        <v>362</v>
      </c>
      <c r="L30" s="107">
        <v>0</v>
      </c>
      <c r="M30" s="142"/>
      <c r="N30" s="107"/>
      <c r="O30" s="107"/>
      <c r="P30" s="107"/>
      <c r="Q30" s="107"/>
      <c r="R30" s="132" t="s">
        <v>90</v>
      </c>
      <c r="S30" s="107"/>
      <c r="T30" s="107"/>
      <c r="U30" s="107"/>
      <c r="V30" s="107"/>
      <c r="W30" s="107"/>
    </row>
    <row r="31" spans="1:23" ht="12.75">
      <c r="A31" s="65">
        <f t="shared" si="0"/>
        <v>5</v>
      </c>
      <c r="C31" s="119">
        <v>37456</v>
      </c>
      <c r="D31" s="257" t="s">
        <v>353</v>
      </c>
      <c r="E31" s="186" t="s">
        <v>213</v>
      </c>
      <c r="F31" s="33" t="s">
        <v>189</v>
      </c>
      <c r="G31" s="121">
        <f>(1925000)/31.5</f>
        <v>61111.11111111111</v>
      </c>
      <c r="H31" s="34"/>
      <c r="I31" s="170"/>
      <c r="J31" s="170"/>
      <c r="K31" s="20" t="s">
        <v>362</v>
      </c>
      <c r="L31" s="107">
        <v>0</v>
      </c>
      <c r="M31" s="142"/>
      <c r="N31" s="107"/>
      <c r="O31" s="107"/>
      <c r="P31" s="107">
        <v>0</v>
      </c>
      <c r="Q31" s="107"/>
      <c r="R31" s="132" t="s">
        <v>90</v>
      </c>
      <c r="S31" s="107"/>
      <c r="T31" s="107"/>
      <c r="U31" s="107"/>
      <c r="V31" s="107"/>
      <c r="W31" s="107"/>
    </row>
    <row r="32" spans="1:23" ht="12.75">
      <c r="A32" s="65">
        <f t="shared" si="0"/>
        <v>6</v>
      </c>
      <c r="C32" s="119">
        <v>37515</v>
      </c>
      <c r="D32" s="154" t="s">
        <v>355</v>
      </c>
      <c r="E32" s="186" t="s">
        <v>262</v>
      </c>
      <c r="F32" s="156" t="s">
        <v>8</v>
      </c>
      <c r="G32" s="121">
        <v>70564</v>
      </c>
      <c r="H32" s="34"/>
      <c r="I32" s="380"/>
      <c r="J32" s="380"/>
      <c r="K32" s="17" t="s">
        <v>363</v>
      </c>
      <c r="L32" s="107">
        <v>0.2</v>
      </c>
      <c r="M32" s="142"/>
      <c r="N32" s="107"/>
      <c r="O32" s="107"/>
      <c r="P32" s="107">
        <v>1</v>
      </c>
      <c r="Q32" s="252">
        <v>1</v>
      </c>
      <c r="R32" s="107"/>
      <c r="S32" s="107"/>
      <c r="T32" s="107"/>
      <c r="U32" s="107"/>
      <c r="V32" s="107"/>
      <c r="W32" s="107"/>
    </row>
    <row r="33" spans="1:27" ht="12.75">
      <c r="A33" s="65">
        <f t="shared" si="0"/>
        <v>7</v>
      </c>
      <c r="C33" s="119">
        <v>37515</v>
      </c>
      <c r="D33" s="17" t="s">
        <v>356</v>
      </c>
      <c r="E33" s="17" t="s">
        <v>295</v>
      </c>
      <c r="F33" s="33" t="s">
        <v>189</v>
      </c>
      <c r="G33" s="121">
        <v>150000</v>
      </c>
      <c r="H33" s="123"/>
      <c r="I33" s="17"/>
      <c r="J33" s="17"/>
      <c r="K33" s="17" t="s">
        <v>76</v>
      </c>
      <c r="L33" s="117">
        <v>0.97</v>
      </c>
      <c r="M33" s="142"/>
      <c r="N33" s="19"/>
      <c r="O33" s="19"/>
      <c r="P33" s="19"/>
      <c r="Q33" s="118">
        <v>1</v>
      </c>
      <c r="R33" s="19"/>
      <c r="S33" s="19"/>
      <c r="T33" s="118">
        <v>0.95</v>
      </c>
      <c r="U33" s="118">
        <v>1</v>
      </c>
      <c r="V33" s="118">
        <v>1</v>
      </c>
      <c r="W33" s="19"/>
      <c r="AA33" s="198"/>
    </row>
    <row r="34" spans="1:23" ht="25.5">
      <c r="A34" s="65">
        <f t="shared" si="0"/>
        <v>8</v>
      </c>
      <c r="C34" s="119">
        <v>37515</v>
      </c>
      <c r="D34" s="17" t="s">
        <v>357</v>
      </c>
      <c r="E34" s="20" t="s">
        <v>296</v>
      </c>
      <c r="F34" s="40" t="s">
        <v>10</v>
      </c>
      <c r="G34" s="121">
        <v>41285</v>
      </c>
      <c r="H34" s="122"/>
      <c r="I34" s="17"/>
      <c r="J34" s="17"/>
      <c r="K34" s="17" t="s">
        <v>363</v>
      </c>
      <c r="L34" s="107">
        <v>0.2</v>
      </c>
      <c r="M34" s="142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7" ht="12.75">
      <c r="A35" s="65">
        <f t="shared" si="0"/>
        <v>9</v>
      </c>
      <c r="C35" s="119">
        <v>37515</v>
      </c>
      <c r="D35" s="17" t="s">
        <v>360</v>
      </c>
      <c r="E35" s="20" t="s">
        <v>294</v>
      </c>
      <c r="F35" s="33" t="s">
        <v>189</v>
      </c>
      <c r="G35" s="121">
        <v>0</v>
      </c>
      <c r="H35" s="123"/>
      <c r="I35" s="17"/>
      <c r="J35" s="17"/>
      <c r="K35" s="17" t="s">
        <v>292</v>
      </c>
      <c r="L35" s="117">
        <v>0.5</v>
      </c>
      <c r="M35" s="142"/>
      <c r="N35" s="135"/>
      <c r="O35" s="118"/>
      <c r="P35" s="118"/>
      <c r="Q35" s="118"/>
      <c r="R35" s="118"/>
      <c r="S35" s="136"/>
      <c r="T35" s="135"/>
      <c r="U35" s="118"/>
      <c r="V35" s="118"/>
      <c r="W35" s="118"/>
      <c r="AA35" s="212"/>
    </row>
    <row r="36" spans="1:23" ht="12.75">
      <c r="A36" s="65">
        <f t="shared" si="0"/>
        <v>10</v>
      </c>
      <c r="C36" s="119">
        <v>37515</v>
      </c>
      <c r="D36" s="17" t="s">
        <v>360</v>
      </c>
      <c r="E36" s="20" t="s">
        <v>413</v>
      </c>
      <c r="F36" s="33" t="s">
        <v>87</v>
      </c>
      <c r="G36" s="121">
        <v>0</v>
      </c>
      <c r="H36" s="123"/>
      <c r="I36" s="17"/>
      <c r="J36" s="17"/>
      <c r="K36" s="17" t="s">
        <v>292</v>
      </c>
      <c r="L36" s="117">
        <v>0.25</v>
      </c>
      <c r="M36" s="142"/>
      <c r="N36" s="135"/>
      <c r="O36" s="118"/>
      <c r="P36" s="118"/>
      <c r="Q36" s="118"/>
      <c r="R36" s="118"/>
      <c r="S36" s="136"/>
      <c r="T36" s="135"/>
      <c r="U36" s="118"/>
      <c r="V36" s="118"/>
      <c r="W36" s="118"/>
    </row>
    <row r="37" spans="1:23" ht="12.75">
      <c r="A37" s="65">
        <f t="shared" si="0"/>
        <v>11</v>
      </c>
      <c r="C37" s="119">
        <v>37515</v>
      </c>
      <c r="D37" s="17" t="s">
        <v>360</v>
      </c>
      <c r="E37" s="20" t="s">
        <v>330</v>
      </c>
      <c r="F37" s="33" t="s">
        <v>87</v>
      </c>
      <c r="G37" s="121">
        <v>0</v>
      </c>
      <c r="H37" s="123"/>
      <c r="I37" s="17"/>
      <c r="J37" s="17"/>
      <c r="K37" s="17" t="s">
        <v>291</v>
      </c>
      <c r="L37" s="117">
        <v>0.1</v>
      </c>
      <c r="M37" s="142"/>
      <c r="N37" s="135"/>
      <c r="O37" s="118"/>
      <c r="P37" s="118"/>
      <c r="Q37" s="118"/>
      <c r="R37" s="118"/>
      <c r="S37" s="136"/>
      <c r="T37" s="135"/>
      <c r="U37" s="118"/>
      <c r="V37" s="118"/>
      <c r="W37" s="118"/>
    </row>
    <row r="38" spans="1:23" ht="12.75">
      <c r="A38" s="65">
        <f t="shared" si="0"/>
        <v>12</v>
      </c>
      <c r="C38" s="119">
        <v>37515</v>
      </c>
      <c r="D38" s="201" t="s">
        <v>358</v>
      </c>
      <c r="E38" s="20" t="s">
        <v>263</v>
      </c>
      <c r="F38" s="33" t="s">
        <v>8</v>
      </c>
      <c r="G38" s="121">
        <v>34000</v>
      </c>
      <c r="H38" s="122"/>
      <c r="I38" s="17"/>
      <c r="J38" s="17"/>
      <c r="K38" s="17" t="s">
        <v>363</v>
      </c>
      <c r="L38" s="117">
        <v>0.65</v>
      </c>
      <c r="M38" s="250"/>
      <c r="N38" s="107"/>
      <c r="O38" s="107"/>
      <c r="P38" s="107"/>
      <c r="Q38" s="251">
        <v>0.99</v>
      </c>
      <c r="R38" s="107"/>
      <c r="S38" s="107"/>
      <c r="T38" s="117">
        <v>0.8</v>
      </c>
      <c r="U38" s="117">
        <v>0.35</v>
      </c>
      <c r="V38" s="107"/>
      <c r="W38" s="107"/>
    </row>
    <row r="39" spans="1:27" ht="12.75">
      <c r="A39" s="65">
        <f t="shared" si="0"/>
        <v>13</v>
      </c>
      <c r="C39" s="119">
        <v>37515</v>
      </c>
      <c r="D39" s="120" t="s">
        <v>350</v>
      </c>
      <c r="E39" s="20" t="s">
        <v>213</v>
      </c>
      <c r="F39" s="33" t="s">
        <v>191</v>
      </c>
      <c r="G39" s="121">
        <v>456725</v>
      </c>
      <c r="H39" s="122"/>
      <c r="I39" s="17"/>
      <c r="J39" s="17"/>
      <c r="K39" s="17" t="s">
        <v>290</v>
      </c>
      <c r="L39" s="117">
        <v>0.81</v>
      </c>
      <c r="M39" s="149"/>
      <c r="N39" s="107"/>
      <c r="O39" s="107"/>
      <c r="P39" s="107">
        <v>1</v>
      </c>
      <c r="Q39" s="107">
        <v>1</v>
      </c>
      <c r="R39" s="107"/>
      <c r="S39" s="107"/>
      <c r="T39" s="133">
        <v>0.95</v>
      </c>
      <c r="U39" s="107"/>
      <c r="V39" s="107"/>
      <c r="W39" s="107"/>
      <c r="AA39" s="22"/>
    </row>
    <row r="40" spans="3:23" ht="13.5" thickBot="1">
      <c r="C40" s="103"/>
      <c r="D40" s="86"/>
      <c r="E40" s="77"/>
      <c r="F40" s="104"/>
      <c r="G40" s="124">
        <f>SUM(G27:G39)</f>
        <v>1196145.8253968253</v>
      </c>
      <c r="H40" s="112"/>
      <c r="M40" s="142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2.75">
      <c r="A41" s="139" t="s">
        <v>18</v>
      </c>
      <c r="C41" s="103"/>
      <c r="E41" s="77"/>
      <c r="F41" s="104"/>
      <c r="G41" s="111"/>
      <c r="H41" s="109"/>
      <c r="M41" s="142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25.5">
      <c r="A42" s="65">
        <v>1</v>
      </c>
      <c r="C42" s="119">
        <v>37508</v>
      </c>
      <c r="D42" s="20" t="s">
        <v>288</v>
      </c>
      <c r="E42" s="20" t="s">
        <v>260</v>
      </c>
      <c r="F42" s="40" t="s">
        <v>9</v>
      </c>
      <c r="G42" s="121">
        <f>4000*12</f>
        <v>48000</v>
      </c>
      <c r="H42" s="122"/>
      <c r="I42" s="17"/>
      <c r="J42" s="17"/>
      <c r="K42" s="17" t="s">
        <v>289</v>
      </c>
      <c r="M42" s="142"/>
      <c r="N42" s="107"/>
      <c r="O42" s="107"/>
      <c r="P42" s="107"/>
      <c r="Q42" s="107">
        <v>1</v>
      </c>
      <c r="R42" s="107"/>
      <c r="S42" s="107"/>
      <c r="T42" s="107"/>
      <c r="U42" s="107"/>
      <c r="V42" s="107"/>
      <c r="W42" s="107"/>
    </row>
    <row r="43" spans="1:23" ht="25.5">
      <c r="A43" s="65">
        <f>A42+1</f>
        <v>2</v>
      </c>
      <c r="C43" s="119">
        <v>37508</v>
      </c>
      <c r="D43" s="20" t="s">
        <v>138</v>
      </c>
      <c r="E43" s="20" t="s">
        <v>260</v>
      </c>
      <c r="F43" s="33" t="s">
        <v>9</v>
      </c>
      <c r="G43" s="121">
        <f>3000*12</f>
        <v>36000</v>
      </c>
      <c r="H43" s="126"/>
      <c r="I43" s="17"/>
      <c r="J43" s="17"/>
      <c r="K43" s="17" t="s">
        <v>289</v>
      </c>
      <c r="M43" s="142"/>
      <c r="N43" s="107"/>
      <c r="O43" s="107"/>
      <c r="P43" s="107"/>
      <c r="Q43" s="107">
        <v>0</v>
      </c>
      <c r="R43" s="107"/>
      <c r="S43" s="107"/>
      <c r="T43" s="107"/>
      <c r="U43" s="107"/>
      <c r="V43" s="107"/>
      <c r="W43" s="107"/>
    </row>
    <row r="44" spans="1:23" ht="25.5">
      <c r="A44" s="65">
        <f aca="true" t="shared" si="1" ref="A44:A61">A43+1</f>
        <v>3</v>
      </c>
      <c r="C44" s="119">
        <v>37508</v>
      </c>
      <c r="D44" s="20" t="s">
        <v>137</v>
      </c>
      <c r="E44" s="20" t="s">
        <v>260</v>
      </c>
      <c r="F44" s="33" t="s">
        <v>9</v>
      </c>
      <c r="G44" s="121">
        <f>2500*12</f>
        <v>30000</v>
      </c>
      <c r="H44" s="126"/>
      <c r="I44" s="17"/>
      <c r="J44" s="17"/>
      <c r="K44" s="17" t="s">
        <v>289</v>
      </c>
      <c r="M44" s="142"/>
      <c r="N44" s="107"/>
      <c r="O44" s="107"/>
      <c r="P44" s="107"/>
      <c r="Q44" s="107">
        <v>1</v>
      </c>
      <c r="R44" s="107"/>
      <c r="S44" s="107"/>
      <c r="T44" s="107"/>
      <c r="U44" s="107"/>
      <c r="V44" s="107"/>
      <c r="W44" s="107"/>
    </row>
    <row r="45" spans="1:24" ht="25.5">
      <c r="A45" s="65">
        <f t="shared" si="1"/>
        <v>4</v>
      </c>
      <c r="C45" s="119">
        <v>37508</v>
      </c>
      <c r="D45" s="128" t="s">
        <v>338</v>
      </c>
      <c r="E45" s="20" t="s">
        <v>284</v>
      </c>
      <c r="F45" s="33" t="s">
        <v>197</v>
      </c>
      <c r="G45" s="121">
        <f>325000/6*5</f>
        <v>270833.3333333333</v>
      </c>
      <c r="H45" s="127"/>
      <c r="I45" s="17"/>
      <c r="J45" s="17"/>
      <c r="K45" s="17" t="s">
        <v>289</v>
      </c>
      <c r="L45" s="117"/>
      <c r="M45" s="150"/>
      <c r="N45" s="118"/>
      <c r="O45" s="118"/>
      <c r="P45" s="118"/>
      <c r="Q45" s="118">
        <v>1</v>
      </c>
      <c r="R45" s="118"/>
      <c r="S45" s="118"/>
      <c r="T45" s="118"/>
      <c r="U45" s="118"/>
      <c r="V45" s="118"/>
      <c r="W45" s="118"/>
      <c r="X45" s="22"/>
    </row>
    <row r="46" spans="1:23" ht="25.5">
      <c r="A46" s="65">
        <f t="shared" si="1"/>
        <v>5</v>
      </c>
      <c r="C46" s="119">
        <v>37508</v>
      </c>
      <c r="D46" s="20" t="s">
        <v>302</v>
      </c>
      <c r="E46" s="20" t="s">
        <v>260</v>
      </c>
      <c r="F46" s="216" t="s">
        <v>333</v>
      </c>
      <c r="G46" s="121">
        <f>3450*12</f>
        <v>41400</v>
      </c>
      <c r="H46" s="122"/>
      <c r="I46" s="17"/>
      <c r="J46" s="17"/>
      <c r="K46" s="17" t="s">
        <v>289</v>
      </c>
      <c r="M46" s="150"/>
      <c r="N46" s="107"/>
      <c r="O46" s="107"/>
      <c r="P46" s="107"/>
      <c r="Q46" s="107">
        <v>1</v>
      </c>
      <c r="R46" s="107"/>
      <c r="S46" s="107"/>
      <c r="T46" s="107"/>
      <c r="U46" s="107"/>
      <c r="V46" s="107"/>
      <c r="W46" s="107"/>
    </row>
    <row r="47" spans="1:23" ht="25.5">
      <c r="A47" s="65">
        <f t="shared" si="1"/>
        <v>6</v>
      </c>
      <c r="C47" s="119">
        <v>37508</v>
      </c>
      <c r="D47" s="20" t="s">
        <v>71</v>
      </c>
      <c r="E47" s="20" t="s">
        <v>260</v>
      </c>
      <c r="F47" s="215" t="s">
        <v>405</v>
      </c>
      <c r="G47" s="121" t="s">
        <v>124</v>
      </c>
      <c r="H47" s="127"/>
      <c r="I47" s="17"/>
      <c r="J47" s="17"/>
      <c r="K47" s="17" t="s">
        <v>289</v>
      </c>
      <c r="L47" s="117"/>
      <c r="M47" s="321"/>
      <c r="N47" s="118"/>
      <c r="O47" s="118"/>
      <c r="P47" s="118"/>
      <c r="Q47" s="118">
        <v>1</v>
      </c>
      <c r="R47" s="118"/>
      <c r="S47" s="118"/>
      <c r="T47" s="118"/>
      <c r="U47" s="118"/>
      <c r="V47" s="118"/>
      <c r="W47" s="118"/>
    </row>
    <row r="48" spans="1:23" ht="25.5">
      <c r="A48" s="65">
        <f t="shared" si="1"/>
        <v>7</v>
      </c>
      <c r="C48" s="119">
        <v>37508</v>
      </c>
      <c r="D48" s="20" t="s">
        <v>72</v>
      </c>
      <c r="E48" s="20" t="s">
        <v>260</v>
      </c>
      <c r="F48" s="216" t="s">
        <v>333</v>
      </c>
      <c r="G48" s="121">
        <f>1250*12</f>
        <v>15000</v>
      </c>
      <c r="H48" s="123"/>
      <c r="I48" s="17"/>
      <c r="J48" s="17"/>
      <c r="K48" s="17" t="s">
        <v>289</v>
      </c>
      <c r="L48" s="117"/>
      <c r="M48" s="320"/>
      <c r="N48" s="118"/>
      <c r="O48" s="118"/>
      <c r="P48" s="118"/>
      <c r="Q48" s="118">
        <v>1</v>
      </c>
      <c r="R48" s="118"/>
      <c r="S48" s="118"/>
      <c r="T48" s="118"/>
      <c r="U48" s="118"/>
      <c r="V48" s="118"/>
      <c r="W48" s="118"/>
    </row>
    <row r="49" spans="1:23" ht="25.5">
      <c r="A49" s="65">
        <f t="shared" si="1"/>
        <v>8</v>
      </c>
      <c r="C49" s="119">
        <v>37508</v>
      </c>
      <c r="D49" s="20" t="s">
        <v>142</v>
      </c>
      <c r="E49" s="20" t="s">
        <v>260</v>
      </c>
      <c r="F49" s="216" t="s">
        <v>333</v>
      </c>
      <c r="G49" s="121">
        <f>2000*12</f>
        <v>24000</v>
      </c>
      <c r="H49" s="123"/>
      <c r="I49" s="17"/>
      <c r="J49" s="17"/>
      <c r="K49" s="17" t="s">
        <v>289</v>
      </c>
      <c r="L49" s="117"/>
      <c r="M49" s="150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ht="25.5">
      <c r="A50" s="65">
        <f t="shared" si="1"/>
        <v>9</v>
      </c>
      <c r="C50" s="119">
        <v>37508</v>
      </c>
      <c r="D50" s="20" t="s">
        <v>140</v>
      </c>
      <c r="E50" s="20" t="s">
        <v>260</v>
      </c>
      <c r="F50" s="33" t="s">
        <v>8</v>
      </c>
      <c r="G50" s="121">
        <f>2450*12</f>
        <v>29400</v>
      </c>
      <c r="H50" s="123"/>
      <c r="I50" s="17"/>
      <c r="J50" s="17"/>
      <c r="K50" s="17" t="s">
        <v>289</v>
      </c>
      <c r="L50" s="117"/>
      <c r="M50" s="150"/>
      <c r="N50" s="118"/>
      <c r="O50" s="118"/>
      <c r="P50" s="118"/>
      <c r="Q50" s="118">
        <v>1</v>
      </c>
      <c r="R50" s="118"/>
      <c r="S50" s="118"/>
      <c r="T50" s="118"/>
      <c r="U50" s="118"/>
      <c r="V50" s="118"/>
      <c r="W50" s="118"/>
    </row>
    <row r="51" spans="1:23" ht="25.5">
      <c r="A51" s="65">
        <f t="shared" si="1"/>
        <v>10</v>
      </c>
      <c r="C51" s="119">
        <v>37508</v>
      </c>
      <c r="D51" s="20" t="s">
        <v>340</v>
      </c>
      <c r="E51" s="20" t="s">
        <v>260</v>
      </c>
      <c r="F51" s="33" t="s">
        <v>405</v>
      </c>
      <c r="G51" s="121">
        <f>4200*12</f>
        <v>50400</v>
      </c>
      <c r="H51" s="127"/>
      <c r="I51" s="17"/>
      <c r="J51" s="17"/>
      <c r="K51" s="17" t="s">
        <v>289</v>
      </c>
      <c r="L51" s="117"/>
      <c r="M51" s="150"/>
      <c r="N51" s="118"/>
      <c r="O51" s="118"/>
      <c r="P51" s="118"/>
      <c r="Q51" s="118">
        <v>1</v>
      </c>
      <c r="R51" s="118"/>
      <c r="S51" s="118"/>
      <c r="T51" s="118"/>
      <c r="U51" s="118"/>
      <c r="V51" s="118"/>
      <c r="W51" s="118"/>
    </row>
    <row r="52" spans="1:23" ht="25.5">
      <c r="A52" s="65">
        <f t="shared" si="1"/>
        <v>11</v>
      </c>
      <c r="C52" s="119">
        <v>37508</v>
      </c>
      <c r="D52" s="20" t="s">
        <v>285</v>
      </c>
      <c r="E52" s="20" t="s">
        <v>260</v>
      </c>
      <c r="F52" s="33" t="s">
        <v>405</v>
      </c>
      <c r="G52" s="121">
        <f>2700*3</f>
        <v>8100</v>
      </c>
      <c r="H52" s="123"/>
      <c r="I52" s="17"/>
      <c r="J52" s="17"/>
      <c r="K52" s="17" t="s">
        <v>289</v>
      </c>
      <c r="M52" s="320"/>
      <c r="N52" s="107"/>
      <c r="O52" s="107"/>
      <c r="P52" s="107"/>
      <c r="Q52" s="117">
        <v>0.9</v>
      </c>
      <c r="R52" s="107"/>
      <c r="S52" s="107"/>
      <c r="T52" s="107"/>
      <c r="U52" s="107"/>
      <c r="V52" s="107"/>
      <c r="W52" s="107"/>
    </row>
    <row r="53" spans="1:23" ht="25.5">
      <c r="A53" s="65">
        <f t="shared" si="1"/>
        <v>12</v>
      </c>
      <c r="C53" s="119">
        <v>37508</v>
      </c>
      <c r="D53" s="128" t="s">
        <v>286</v>
      </c>
      <c r="E53" s="20" t="s">
        <v>260</v>
      </c>
      <c r="F53" s="216" t="s">
        <v>333</v>
      </c>
      <c r="G53" s="203">
        <f>6300*12</f>
        <v>75600</v>
      </c>
      <c r="H53" s="123"/>
      <c r="I53" s="17"/>
      <c r="J53" s="17"/>
      <c r="K53" s="17" t="s">
        <v>289</v>
      </c>
      <c r="L53" s="117"/>
      <c r="M53" s="320"/>
      <c r="N53" s="118"/>
      <c r="O53" s="118"/>
      <c r="P53" s="118"/>
      <c r="Q53" s="135">
        <v>1</v>
      </c>
      <c r="R53" s="118"/>
      <c r="S53" s="118"/>
      <c r="T53" s="118"/>
      <c r="U53" s="118"/>
      <c r="V53" s="118"/>
      <c r="W53" s="118"/>
    </row>
    <row r="54" spans="1:23" ht="25.5">
      <c r="A54" s="65">
        <f t="shared" si="1"/>
        <v>13</v>
      </c>
      <c r="C54" s="119">
        <v>37508</v>
      </c>
      <c r="D54" s="200" t="s">
        <v>341</v>
      </c>
      <c r="E54" s="20" t="s">
        <v>260</v>
      </c>
      <c r="F54" s="216" t="s">
        <v>332</v>
      </c>
      <c r="G54" s="121">
        <f>4000*12</f>
        <v>48000</v>
      </c>
      <c r="H54" s="123"/>
      <c r="I54" s="17"/>
      <c r="J54" s="17"/>
      <c r="K54" s="17" t="s">
        <v>289</v>
      </c>
      <c r="L54" s="117"/>
      <c r="M54" s="150"/>
      <c r="N54" s="118"/>
      <c r="O54" s="118"/>
      <c r="P54" s="118"/>
      <c r="Q54" s="135">
        <v>1</v>
      </c>
      <c r="R54" s="118"/>
      <c r="S54" s="118"/>
      <c r="T54" s="118"/>
      <c r="U54" s="118"/>
      <c r="V54" s="118"/>
      <c r="W54" s="118"/>
    </row>
    <row r="55" spans="1:23" ht="51">
      <c r="A55" s="65">
        <f t="shared" si="1"/>
        <v>14</v>
      </c>
      <c r="C55" s="119">
        <v>37508</v>
      </c>
      <c r="D55" s="20" t="s">
        <v>141</v>
      </c>
      <c r="E55" s="20" t="s">
        <v>260</v>
      </c>
      <c r="F55" s="40" t="s">
        <v>8</v>
      </c>
      <c r="G55" s="121">
        <f>3500*12</f>
        <v>42000</v>
      </c>
      <c r="H55" s="123"/>
      <c r="I55" s="17"/>
      <c r="J55" s="17"/>
      <c r="K55" s="17" t="s">
        <v>289</v>
      </c>
      <c r="L55" s="117"/>
      <c r="M55" s="320"/>
      <c r="N55" s="118"/>
      <c r="O55" s="118"/>
      <c r="P55" s="118"/>
      <c r="Q55" s="135">
        <v>1</v>
      </c>
      <c r="R55" s="118"/>
      <c r="S55" s="118"/>
      <c r="T55" s="118"/>
      <c r="U55" s="118"/>
      <c r="V55" s="118"/>
      <c r="W55" s="118"/>
    </row>
    <row r="56" spans="1:23" ht="25.5">
      <c r="A56" s="65">
        <f t="shared" si="1"/>
        <v>15</v>
      </c>
      <c r="C56" s="119">
        <v>37508</v>
      </c>
      <c r="D56" s="20" t="s">
        <v>305</v>
      </c>
      <c r="E56" s="20" t="s">
        <v>260</v>
      </c>
      <c r="F56" s="216" t="s">
        <v>333</v>
      </c>
      <c r="G56" s="121">
        <f>3300*12</f>
        <v>39600</v>
      </c>
      <c r="H56" s="123"/>
      <c r="I56" s="17"/>
      <c r="J56" s="17"/>
      <c r="K56" s="17" t="s">
        <v>289</v>
      </c>
      <c r="L56" s="117"/>
      <c r="M56" s="202"/>
      <c r="N56" s="118"/>
      <c r="O56" s="118"/>
      <c r="P56" s="118"/>
      <c r="Q56" s="132" t="s">
        <v>198</v>
      </c>
      <c r="R56" s="118"/>
      <c r="S56" s="118"/>
      <c r="T56" s="118"/>
      <c r="U56" s="118"/>
      <c r="V56" s="118"/>
      <c r="W56" s="118"/>
    </row>
    <row r="57" spans="1:23" s="218" customFormat="1" ht="25.5">
      <c r="A57" s="217">
        <f t="shared" si="1"/>
        <v>16</v>
      </c>
      <c r="C57" s="119">
        <v>37508</v>
      </c>
      <c r="D57" s="219" t="s">
        <v>73</v>
      </c>
      <c r="E57" s="219" t="s">
        <v>260</v>
      </c>
      <c r="F57" s="220" t="s">
        <v>8</v>
      </c>
      <c r="G57" s="221">
        <f>950*12</f>
        <v>11400</v>
      </c>
      <c r="H57" s="222"/>
      <c r="I57" s="223"/>
      <c r="J57" s="223"/>
      <c r="K57" s="223" t="s">
        <v>289</v>
      </c>
      <c r="L57" s="224"/>
      <c r="M57" s="159"/>
      <c r="N57" s="225"/>
      <c r="O57" s="225"/>
      <c r="P57" s="225"/>
      <c r="Q57" s="225">
        <v>1</v>
      </c>
      <c r="R57" s="225"/>
      <c r="S57" s="225"/>
      <c r="T57" s="225"/>
      <c r="U57" s="225"/>
      <c r="V57" s="225"/>
      <c r="W57" s="225"/>
    </row>
    <row r="58" spans="1:23" ht="25.5">
      <c r="A58" s="65">
        <f t="shared" si="1"/>
        <v>17</v>
      </c>
      <c r="C58" s="119">
        <v>37508</v>
      </c>
      <c r="D58" s="172" t="s">
        <v>350</v>
      </c>
      <c r="E58" s="20" t="s">
        <v>260</v>
      </c>
      <c r="F58" s="216" t="s">
        <v>333</v>
      </c>
      <c r="G58" s="121">
        <f>447.92*12</f>
        <v>5375.04</v>
      </c>
      <c r="H58" s="123"/>
      <c r="I58" s="17"/>
      <c r="J58" s="17"/>
      <c r="K58" s="17" t="s">
        <v>289</v>
      </c>
      <c r="L58" s="117"/>
      <c r="M58" s="160"/>
      <c r="N58" s="118"/>
      <c r="O58" s="118"/>
      <c r="P58" s="118"/>
      <c r="Q58" s="136" t="s">
        <v>408</v>
      </c>
      <c r="R58" s="118"/>
      <c r="S58" s="118"/>
      <c r="T58" s="118"/>
      <c r="U58" s="118"/>
      <c r="V58" s="118"/>
      <c r="W58" s="118"/>
    </row>
    <row r="59" spans="1:23" ht="25.5">
      <c r="A59" s="65">
        <f t="shared" si="1"/>
        <v>18</v>
      </c>
      <c r="C59" s="119">
        <v>37508</v>
      </c>
      <c r="D59" s="20" t="s">
        <v>23</v>
      </c>
      <c r="E59" s="20" t="s">
        <v>260</v>
      </c>
      <c r="F59" s="40" t="s">
        <v>8</v>
      </c>
      <c r="G59" s="121">
        <f>667*12</f>
        <v>8004</v>
      </c>
      <c r="H59" s="123"/>
      <c r="I59" s="17"/>
      <c r="J59" s="17"/>
      <c r="K59" s="17" t="s">
        <v>289</v>
      </c>
      <c r="L59" s="117"/>
      <c r="M59" s="65"/>
      <c r="N59" s="118"/>
      <c r="O59" s="118"/>
      <c r="P59" s="118"/>
      <c r="Q59" s="136" t="s">
        <v>198</v>
      </c>
      <c r="R59" s="118"/>
      <c r="S59" s="118"/>
      <c r="T59" s="118"/>
      <c r="U59" s="118"/>
      <c r="V59" s="118"/>
      <c r="W59" s="118"/>
    </row>
    <row r="60" spans="1:23" ht="12.75">
      <c r="A60" s="65">
        <f t="shared" si="1"/>
        <v>19</v>
      </c>
      <c r="C60" s="119">
        <v>37508</v>
      </c>
      <c r="D60" s="20" t="s">
        <v>360</v>
      </c>
      <c r="E60" s="20" t="s">
        <v>266</v>
      </c>
      <c r="F60" s="40" t="s">
        <v>8</v>
      </c>
      <c r="G60" s="121" t="s">
        <v>196</v>
      </c>
      <c r="H60" s="123"/>
      <c r="I60" s="17"/>
      <c r="J60" s="17"/>
      <c r="K60" s="17" t="s">
        <v>289</v>
      </c>
      <c r="L60" s="117"/>
      <c r="M60" s="65"/>
      <c r="N60" s="118"/>
      <c r="O60" s="118"/>
      <c r="P60" s="118"/>
      <c r="Q60" s="136" t="s">
        <v>198</v>
      </c>
      <c r="R60" s="118"/>
      <c r="S60" s="118"/>
      <c r="T60" s="118"/>
      <c r="U60" s="118"/>
      <c r="V60" s="118"/>
      <c r="W60" s="118"/>
    </row>
    <row r="61" spans="1:23" ht="25.5">
      <c r="A61" s="65">
        <f t="shared" si="1"/>
        <v>20</v>
      </c>
      <c r="C61" s="119">
        <v>37508</v>
      </c>
      <c r="D61" s="20" t="s">
        <v>357</v>
      </c>
      <c r="E61" s="20" t="s">
        <v>260</v>
      </c>
      <c r="F61" s="40" t="s">
        <v>10</v>
      </c>
      <c r="G61" s="105">
        <v>8200</v>
      </c>
      <c r="H61" s="122"/>
      <c r="I61" s="17"/>
      <c r="J61" s="17"/>
      <c r="K61" s="17" t="s">
        <v>289</v>
      </c>
      <c r="M61" s="160"/>
      <c r="N61" s="107"/>
      <c r="O61" s="107"/>
      <c r="P61" s="107"/>
      <c r="Q61" s="107">
        <v>1</v>
      </c>
      <c r="R61" s="107"/>
      <c r="S61" s="107"/>
      <c r="T61" s="107"/>
      <c r="U61" s="107"/>
      <c r="V61" s="107"/>
      <c r="W61" s="107"/>
    </row>
    <row r="62" spans="4:23" ht="12.75">
      <c r="D62" s="86"/>
      <c r="E62" s="77"/>
      <c r="F62" s="104"/>
      <c r="G62" s="141">
        <f>SUM(G42:G61)</f>
        <v>791312.3733333333</v>
      </c>
      <c r="H62" s="113"/>
      <c r="M62" s="142"/>
      <c r="N62" s="107"/>
      <c r="O62" s="107"/>
      <c r="P62" s="107"/>
      <c r="Q62" s="107"/>
      <c r="R62" s="107"/>
      <c r="S62" s="107"/>
      <c r="T62" s="107"/>
      <c r="U62" s="107"/>
      <c r="V62" s="107"/>
      <c r="W62" s="107"/>
    </row>
    <row r="63" spans="1:23" ht="12.75">
      <c r="A63" s="139" t="s">
        <v>15</v>
      </c>
      <c r="E63" s="77"/>
      <c r="F63" s="104"/>
      <c r="G63" s="105"/>
      <c r="H63" s="109"/>
      <c r="M63" s="142"/>
      <c r="N63" s="107"/>
      <c r="O63" s="107"/>
      <c r="P63" s="107"/>
      <c r="Q63" s="107"/>
      <c r="R63" s="107"/>
      <c r="S63" s="107"/>
      <c r="T63" s="107"/>
      <c r="U63" s="107"/>
      <c r="V63" s="107"/>
      <c r="W63" s="107"/>
    </row>
    <row r="64" spans="1:23" ht="14.25" customHeight="1">
      <c r="A64" s="65">
        <v>0</v>
      </c>
      <c r="C64" s="142"/>
      <c r="D64" s="77"/>
      <c r="E64" s="77"/>
      <c r="F64" s="238"/>
      <c r="G64" s="105"/>
      <c r="H64" s="239"/>
      <c r="I64" s="76"/>
      <c r="J64" s="76"/>
      <c r="K64" s="76"/>
      <c r="M64" s="142"/>
      <c r="N64" s="107"/>
      <c r="O64" s="107"/>
      <c r="P64" s="107"/>
      <c r="Q64" s="132"/>
      <c r="R64" s="107"/>
      <c r="S64" s="107"/>
      <c r="T64" s="107"/>
      <c r="U64" s="107"/>
      <c r="V64" s="107"/>
      <c r="W64" s="107"/>
    </row>
    <row r="65" spans="1:23" ht="14.25" customHeight="1">
      <c r="A65" s="65">
        <f>1</f>
        <v>1</v>
      </c>
      <c r="C65" s="119">
        <v>37407</v>
      </c>
      <c r="D65" s="20" t="s">
        <v>350</v>
      </c>
      <c r="E65" s="20" t="s">
        <v>89</v>
      </c>
      <c r="F65" s="243" t="s">
        <v>370</v>
      </c>
      <c r="G65" s="121">
        <v>5500</v>
      </c>
      <c r="H65" s="122"/>
      <c r="I65" s="17"/>
      <c r="J65" s="17"/>
      <c r="K65" s="17" t="s">
        <v>202</v>
      </c>
      <c r="L65" s="107">
        <v>1</v>
      </c>
      <c r="M65" s="142"/>
      <c r="N65" s="107"/>
      <c r="O65" s="107"/>
      <c r="P65" s="107"/>
      <c r="Q65" s="132">
        <v>0</v>
      </c>
      <c r="R65" s="107"/>
      <c r="S65" s="107"/>
      <c r="T65" s="107"/>
      <c r="U65" s="107"/>
      <c r="V65" s="107"/>
      <c r="W65" s="107"/>
    </row>
    <row r="66" spans="1:23" ht="14.25" customHeight="1">
      <c r="A66" s="65">
        <f aca="true" t="shared" si="2" ref="A66:A71">A65+1</f>
        <v>2</v>
      </c>
      <c r="C66" s="119">
        <v>37407</v>
      </c>
      <c r="D66" s="20" t="s">
        <v>350</v>
      </c>
      <c r="E66" s="20" t="s">
        <v>89</v>
      </c>
      <c r="F66" s="243" t="s">
        <v>370</v>
      </c>
      <c r="G66" s="121">
        <v>150</v>
      </c>
      <c r="H66" s="122"/>
      <c r="I66" s="17"/>
      <c r="J66" s="17"/>
      <c r="K66" s="17" t="s">
        <v>202</v>
      </c>
      <c r="L66" s="107">
        <v>1</v>
      </c>
      <c r="M66" s="142"/>
      <c r="N66" s="107"/>
      <c r="O66" s="107"/>
      <c r="P66" s="107"/>
      <c r="Q66" s="132">
        <v>0</v>
      </c>
      <c r="R66" s="107"/>
      <c r="S66" s="107"/>
      <c r="T66" s="107"/>
      <c r="U66" s="107"/>
      <c r="V66" s="107"/>
      <c r="W66" s="107"/>
    </row>
    <row r="67" spans="1:23" ht="12.75">
      <c r="A67" s="65">
        <f t="shared" si="2"/>
        <v>3</v>
      </c>
      <c r="C67" s="119">
        <v>37396</v>
      </c>
      <c r="D67" s="20" t="s">
        <v>311</v>
      </c>
      <c r="E67" s="20" t="s">
        <v>311</v>
      </c>
      <c r="F67" s="33" t="s">
        <v>9</v>
      </c>
      <c r="G67" s="121">
        <v>10700</v>
      </c>
      <c r="H67" s="122"/>
      <c r="I67" s="17"/>
      <c r="J67" s="17"/>
      <c r="K67" s="17" t="s">
        <v>202</v>
      </c>
      <c r="L67" s="107">
        <v>1</v>
      </c>
      <c r="M67" s="142"/>
      <c r="N67" s="107"/>
      <c r="O67" s="107"/>
      <c r="P67" s="107"/>
      <c r="Q67" s="107"/>
      <c r="R67" s="107"/>
      <c r="S67" s="107"/>
      <c r="T67" s="107"/>
      <c r="U67" s="107"/>
      <c r="V67" s="107"/>
      <c r="W67" s="107"/>
    </row>
    <row r="68" spans="1:23" ht="25.5">
      <c r="A68" s="65">
        <f t="shared" si="2"/>
        <v>4</v>
      </c>
      <c r="C68" s="119">
        <v>37368</v>
      </c>
      <c r="D68" s="20" t="s">
        <v>24</v>
      </c>
      <c r="E68" s="20" t="s">
        <v>211</v>
      </c>
      <c r="F68" s="33" t="s">
        <v>410</v>
      </c>
      <c r="G68" s="121">
        <v>300000</v>
      </c>
      <c r="H68" s="126"/>
      <c r="I68" s="17"/>
      <c r="J68" s="17"/>
      <c r="K68" s="17" t="s">
        <v>202</v>
      </c>
      <c r="L68" s="107">
        <v>1</v>
      </c>
      <c r="M68" s="142"/>
      <c r="N68" s="107"/>
      <c r="O68" s="107"/>
      <c r="P68" s="107"/>
      <c r="Q68" s="107"/>
      <c r="R68" s="107"/>
      <c r="S68" s="107"/>
      <c r="T68" s="107"/>
      <c r="U68" s="107"/>
      <c r="V68" s="107"/>
      <c r="W68" s="107"/>
    </row>
    <row r="69" spans="1:23" ht="25.5">
      <c r="A69" s="65">
        <f t="shared" si="2"/>
        <v>5</v>
      </c>
      <c r="C69" s="119">
        <v>37396</v>
      </c>
      <c r="D69" s="172" t="s">
        <v>421</v>
      </c>
      <c r="E69" s="20" t="s">
        <v>260</v>
      </c>
      <c r="F69" s="33" t="s">
        <v>8</v>
      </c>
      <c r="G69" s="121">
        <f>192*12</f>
        <v>2304</v>
      </c>
      <c r="H69" s="126"/>
      <c r="I69" s="17"/>
      <c r="J69" s="17"/>
      <c r="K69" s="17" t="s">
        <v>202</v>
      </c>
      <c r="L69" s="107">
        <v>1</v>
      </c>
      <c r="M69" s="142"/>
      <c r="N69" s="107"/>
      <c r="O69" s="107"/>
      <c r="P69" s="107"/>
      <c r="Q69" s="132">
        <v>1</v>
      </c>
      <c r="R69" s="132"/>
      <c r="S69" s="107"/>
      <c r="T69" s="107"/>
      <c r="U69" s="107"/>
      <c r="V69" s="107"/>
      <c r="W69" s="107"/>
    </row>
    <row r="70" spans="1:23" ht="25.5">
      <c r="A70" s="65">
        <f t="shared" si="2"/>
        <v>6</v>
      </c>
      <c r="C70" s="119">
        <v>37414</v>
      </c>
      <c r="D70" s="172" t="s">
        <v>190</v>
      </c>
      <c r="E70" s="20" t="s">
        <v>303</v>
      </c>
      <c r="F70" s="243" t="s">
        <v>370</v>
      </c>
      <c r="G70" s="121">
        <v>75000</v>
      </c>
      <c r="H70" s="123"/>
      <c r="I70" s="17"/>
      <c r="J70" s="17"/>
      <c r="K70" s="17" t="s">
        <v>210</v>
      </c>
      <c r="L70" s="117">
        <v>1</v>
      </c>
      <c r="M70" s="142"/>
      <c r="N70" s="135">
        <v>1</v>
      </c>
      <c r="O70" s="118"/>
      <c r="P70" s="118"/>
      <c r="Q70" s="118">
        <v>1</v>
      </c>
      <c r="R70" s="118"/>
      <c r="S70" s="136"/>
      <c r="T70" s="135">
        <v>1</v>
      </c>
      <c r="U70" s="118"/>
      <c r="V70" s="118"/>
      <c r="W70" s="118"/>
    </row>
    <row r="71" spans="1:27" ht="25.5">
      <c r="A71" s="65">
        <f t="shared" si="2"/>
        <v>7</v>
      </c>
      <c r="C71" s="119">
        <v>37466</v>
      </c>
      <c r="D71" s="120" t="s">
        <v>341</v>
      </c>
      <c r="E71" s="20" t="s">
        <v>17</v>
      </c>
      <c r="F71" s="33" t="s">
        <v>197</v>
      </c>
      <c r="G71" s="121">
        <v>20834</v>
      </c>
      <c r="H71" s="123"/>
      <c r="I71" s="17"/>
      <c r="J71" s="17"/>
      <c r="K71" s="17" t="s">
        <v>86</v>
      </c>
      <c r="L71" s="117">
        <v>1</v>
      </c>
      <c r="M71" s="142"/>
      <c r="N71" s="133">
        <v>1</v>
      </c>
      <c r="O71" s="133"/>
      <c r="P71" s="133">
        <v>1</v>
      </c>
      <c r="Q71" s="133">
        <v>1</v>
      </c>
      <c r="R71" s="133"/>
      <c r="S71" s="133">
        <v>1</v>
      </c>
      <c r="T71" s="133">
        <v>1</v>
      </c>
      <c r="U71" s="133">
        <v>1</v>
      </c>
      <c r="V71" s="133">
        <v>1</v>
      </c>
      <c r="W71" s="133"/>
      <c r="X71" s="22"/>
      <c r="Z71" s="22"/>
      <c r="AA71" s="22"/>
    </row>
    <row r="72" spans="1:23" ht="25.5">
      <c r="A72" s="65">
        <f>A71+1</f>
        <v>8</v>
      </c>
      <c r="C72" s="119">
        <v>37466</v>
      </c>
      <c r="D72" s="120" t="s">
        <v>341</v>
      </c>
      <c r="E72" s="20" t="s">
        <v>265</v>
      </c>
      <c r="F72" s="215" t="s">
        <v>332</v>
      </c>
      <c r="G72" s="121">
        <v>30000</v>
      </c>
      <c r="H72" s="122"/>
      <c r="I72" s="17"/>
      <c r="J72" s="17"/>
      <c r="K72" s="17" t="s">
        <v>86</v>
      </c>
      <c r="L72" s="107">
        <v>1</v>
      </c>
      <c r="M72" s="195"/>
      <c r="N72" s="135">
        <v>1</v>
      </c>
      <c r="O72" s="107"/>
      <c r="P72" s="107">
        <v>0.5</v>
      </c>
      <c r="Q72" s="107"/>
      <c r="R72" s="107"/>
      <c r="S72" s="107"/>
      <c r="T72" s="135">
        <v>0.5</v>
      </c>
      <c r="U72" s="107"/>
      <c r="V72" s="107"/>
      <c r="W72" s="107"/>
    </row>
    <row r="73" spans="1:23" ht="12.75">
      <c r="A73" s="65">
        <f>A72+1</f>
        <v>9</v>
      </c>
      <c r="C73" s="119">
        <v>37466</v>
      </c>
      <c r="D73" s="17" t="s">
        <v>308</v>
      </c>
      <c r="E73" s="20" t="s">
        <v>123</v>
      </c>
      <c r="F73" s="33" t="s">
        <v>405</v>
      </c>
      <c r="G73" s="125">
        <v>30000</v>
      </c>
      <c r="H73" s="126"/>
      <c r="I73" s="17"/>
      <c r="J73" s="17"/>
      <c r="K73" s="17" t="s">
        <v>86</v>
      </c>
      <c r="L73" s="107">
        <v>1</v>
      </c>
      <c r="M73" s="195"/>
      <c r="N73" s="107"/>
      <c r="O73" s="107"/>
      <c r="P73" s="107"/>
      <c r="Q73" s="107">
        <v>1</v>
      </c>
      <c r="R73" s="107">
        <v>0</v>
      </c>
      <c r="S73" s="107"/>
      <c r="T73" s="107">
        <v>0</v>
      </c>
      <c r="U73" s="107"/>
      <c r="V73" s="107"/>
      <c r="W73" s="107"/>
    </row>
    <row r="74" spans="1:23" ht="12.75">
      <c r="A74" s="65">
        <f>A73+1</f>
        <v>10</v>
      </c>
      <c r="C74" s="142"/>
      <c r="D74" s="240"/>
      <c r="E74" s="77"/>
      <c r="F74" s="104"/>
      <c r="G74" s="105"/>
      <c r="H74" s="237"/>
      <c r="I74" s="76"/>
      <c r="J74" s="76"/>
      <c r="K74" s="76"/>
      <c r="L74" s="117"/>
      <c r="M74" s="142"/>
      <c r="N74" s="135"/>
      <c r="O74" s="118"/>
      <c r="P74" s="118"/>
      <c r="Q74" s="118"/>
      <c r="R74" s="118"/>
      <c r="S74" s="136"/>
      <c r="T74" s="135"/>
      <c r="U74" s="118"/>
      <c r="V74" s="118"/>
      <c r="W74" s="118"/>
    </row>
    <row r="75" spans="5:23" ht="12.75">
      <c r="E75" s="22"/>
      <c r="G75" s="105"/>
      <c r="H75" s="109"/>
      <c r="M75" s="142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.75">
      <c r="A76" s="140" t="s">
        <v>179</v>
      </c>
      <c r="E76" s="22"/>
      <c r="G76" s="105"/>
      <c r="H76" s="109"/>
      <c r="M76" s="142"/>
      <c r="N76" s="107"/>
      <c r="O76" s="107"/>
      <c r="P76" s="107"/>
      <c r="Q76" s="107"/>
      <c r="R76" s="107"/>
      <c r="S76" s="107"/>
      <c r="T76" s="107"/>
      <c r="U76" s="107"/>
      <c r="V76" s="107"/>
      <c r="W76" s="107"/>
    </row>
    <row r="77" spans="1:23" ht="12.75">
      <c r="A77" s="65">
        <v>1</v>
      </c>
      <c r="C77" s="119">
        <v>37375</v>
      </c>
      <c r="D77" s="20" t="s">
        <v>302</v>
      </c>
      <c r="E77" s="17" t="s">
        <v>264</v>
      </c>
      <c r="F77" s="33" t="s">
        <v>8</v>
      </c>
      <c r="G77" s="121">
        <v>47236</v>
      </c>
      <c r="H77" s="122"/>
      <c r="I77" s="17"/>
      <c r="J77" s="17"/>
      <c r="K77" s="17" t="s">
        <v>201</v>
      </c>
      <c r="L77" s="107">
        <v>1</v>
      </c>
      <c r="M77" s="149"/>
      <c r="N77" s="107"/>
      <c r="O77" s="107"/>
      <c r="P77" s="107"/>
      <c r="Q77" s="107"/>
      <c r="R77" s="107"/>
      <c r="S77" s="107"/>
      <c r="T77" s="107"/>
      <c r="U77" s="107"/>
      <c r="V77" s="107"/>
      <c r="W77" s="107"/>
    </row>
    <row r="78" spans="1:23" ht="25.5">
      <c r="A78" s="65">
        <f aca="true" t="shared" si="3" ref="A78:A86">A77+1</f>
        <v>2</v>
      </c>
      <c r="C78" s="119">
        <v>37368</v>
      </c>
      <c r="D78" s="128" t="s">
        <v>338</v>
      </c>
      <c r="E78" s="20" t="s">
        <v>43</v>
      </c>
      <c r="F78" s="33" t="s">
        <v>125</v>
      </c>
      <c r="G78" s="121">
        <v>300000</v>
      </c>
      <c r="H78" s="126"/>
      <c r="I78" s="17"/>
      <c r="J78" s="17"/>
      <c r="K78" s="17" t="s">
        <v>201</v>
      </c>
      <c r="L78" s="107">
        <v>1</v>
      </c>
      <c r="M78" s="142"/>
      <c r="N78" s="107"/>
      <c r="O78" s="107"/>
      <c r="P78" s="107"/>
      <c r="Q78" s="107"/>
      <c r="R78" s="107"/>
      <c r="S78" s="107"/>
      <c r="T78" s="107"/>
      <c r="U78" s="107"/>
      <c r="V78" s="107"/>
      <c r="W78" s="107"/>
    </row>
    <row r="79" spans="1:23" ht="25.5">
      <c r="A79" s="65">
        <f t="shared" si="3"/>
        <v>3</v>
      </c>
      <c r="C79" s="119">
        <v>37368</v>
      </c>
      <c r="D79" s="128" t="s">
        <v>304</v>
      </c>
      <c r="E79" s="20" t="s">
        <v>44</v>
      </c>
      <c r="F79" s="138" t="s">
        <v>9</v>
      </c>
      <c r="G79" s="121">
        <v>124500</v>
      </c>
      <c r="H79" s="126"/>
      <c r="I79" s="17"/>
      <c r="J79" s="17"/>
      <c r="K79" s="17" t="s">
        <v>201</v>
      </c>
      <c r="L79" s="107">
        <v>1</v>
      </c>
      <c r="M79" s="142"/>
      <c r="N79" s="107"/>
      <c r="O79" s="107"/>
      <c r="P79" s="107"/>
      <c r="Q79" s="107"/>
      <c r="R79" s="107"/>
      <c r="S79" s="107"/>
      <c r="T79" s="107"/>
      <c r="U79" s="107"/>
      <c r="V79" s="107"/>
      <c r="W79" s="107"/>
    </row>
    <row r="80" spans="1:23" ht="12.75">
      <c r="A80" s="65">
        <f t="shared" si="3"/>
        <v>4</v>
      </c>
      <c r="C80" s="119">
        <v>37392</v>
      </c>
      <c r="D80" s="172" t="s">
        <v>71</v>
      </c>
      <c r="E80" s="20" t="s">
        <v>71</v>
      </c>
      <c r="F80" s="33" t="s">
        <v>8</v>
      </c>
      <c r="G80" s="121">
        <v>47000</v>
      </c>
      <c r="H80" s="126"/>
      <c r="I80" s="17"/>
      <c r="J80" s="17"/>
      <c r="K80" s="17" t="s">
        <v>201</v>
      </c>
      <c r="L80" s="107">
        <v>1</v>
      </c>
      <c r="M80" s="142"/>
      <c r="N80" s="107"/>
      <c r="O80" s="107"/>
      <c r="P80" s="107"/>
      <c r="Q80" s="107"/>
      <c r="R80" s="107"/>
      <c r="S80" s="107"/>
      <c r="T80" s="107"/>
      <c r="U80" s="107"/>
      <c r="V80" s="107"/>
      <c r="W80" s="107"/>
    </row>
    <row r="81" spans="1:23" ht="12.75">
      <c r="A81" s="65">
        <f t="shared" si="3"/>
        <v>5</v>
      </c>
      <c r="C81" s="119">
        <v>37392</v>
      </c>
      <c r="D81" s="200" t="s">
        <v>46</v>
      </c>
      <c r="E81" s="20" t="s">
        <v>45</v>
      </c>
      <c r="F81" s="33" t="s">
        <v>10</v>
      </c>
      <c r="G81" s="121">
        <v>150000</v>
      </c>
      <c r="H81" s="126"/>
      <c r="I81" s="17"/>
      <c r="J81" s="17"/>
      <c r="K81" s="17" t="s">
        <v>201</v>
      </c>
      <c r="L81" s="107">
        <v>1</v>
      </c>
      <c r="M81" s="142"/>
      <c r="N81" s="107"/>
      <c r="O81" s="107"/>
      <c r="P81" s="107"/>
      <c r="Q81" s="107"/>
      <c r="R81" s="107"/>
      <c r="S81" s="107"/>
      <c r="T81" s="107"/>
      <c r="U81" s="107"/>
      <c r="V81" s="107"/>
      <c r="W81" s="107"/>
    </row>
    <row r="82" spans="1:23" ht="12.75">
      <c r="A82" s="65">
        <f t="shared" si="3"/>
        <v>6</v>
      </c>
      <c r="C82" s="119">
        <v>37396</v>
      </c>
      <c r="D82" s="20" t="s">
        <v>360</v>
      </c>
      <c r="E82" s="20" t="s">
        <v>361</v>
      </c>
      <c r="F82" s="33" t="s">
        <v>8</v>
      </c>
      <c r="G82" s="121">
        <v>0</v>
      </c>
      <c r="H82" s="122"/>
      <c r="I82" s="17"/>
      <c r="J82" s="17"/>
      <c r="K82" s="17" t="s">
        <v>201</v>
      </c>
      <c r="L82" s="107">
        <v>1</v>
      </c>
      <c r="M82" s="149"/>
      <c r="N82" s="107"/>
      <c r="O82" s="107"/>
      <c r="P82" s="107"/>
      <c r="Q82" s="107"/>
      <c r="R82" s="107"/>
      <c r="S82" s="107"/>
      <c r="T82" s="107"/>
      <c r="U82" s="107"/>
      <c r="V82" s="107"/>
      <c r="W82" s="107"/>
    </row>
    <row r="83" spans="1:24" ht="12.75">
      <c r="A83" s="65">
        <f t="shared" si="3"/>
        <v>7</v>
      </c>
      <c r="C83" s="119">
        <v>37407</v>
      </c>
      <c r="D83" s="120" t="s">
        <v>285</v>
      </c>
      <c r="E83" s="20" t="s">
        <v>89</v>
      </c>
      <c r="F83" s="33" t="s">
        <v>8</v>
      </c>
      <c r="G83" s="121">
        <v>25000</v>
      </c>
      <c r="H83" s="122"/>
      <c r="I83" s="17"/>
      <c r="J83" s="17"/>
      <c r="K83" s="17" t="s">
        <v>201</v>
      </c>
      <c r="L83" s="107">
        <v>1</v>
      </c>
      <c r="M83" s="142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22"/>
    </row>
    <row r="84" spans="1:23" ht="12.75">
      <c r="A84" s="65">
        <f t="shared" si="3"/>
        <v>8</v>
      </c>
      <c r="C84" s="119">
        <v>37414</v>
      </c>
      <c r="D84" s="20" t="s">
        <v>285</v>
      </c>
      <c r="E84" s="20" t="s">
        <v>89</v>
      </c>
      <c r="F84" s="33" t="s">
        <v>8</v>
      </c>
      <c r="G84" s="121">
        <v>13500</v>
      </c>
      <c r="H84" s="122"/>
      <c r="I84" s="17"/>
      <c r="J84" s="17"/>
      <c r="K84" s="17" t="s">
        <v>201</v>
      </c>
      <c r="L84" s="107">
        <v>1</v>
      </c>
      <c r="M84" s="199"/>
      <c r="N84" s="107"/>
      <c r="O84" s="107"/>
      <c r="P84" s="107"/>
      <c r="Q84" s="117"/>
      <c r="R84" s="107"/>
      <c r="S84" s="107"/>
      <c r="T84" s="107"/>
      <c r="U84" s="107"/>
      <c r="V84" s="107"/>
      <c r="W84" s="107"/>
    </row>
    <row r="85" spans="1:23" ht="25.5">
      <c r="A85" s="65">
        <f t="shared" si="3"/>
        <v>9</v>
      </c>
      <c r="C85" s="119">
        <v>37407</v>
      </c>
      <c r="D85" s="120" t="s">
        <v>306</v>
      </c>
      <c r="E85" s="20" t="s">
        <v>95</v>
      </c>
      <c r="F85" s="33" t="s">
        <v>22</v>
      </c>
      <c r="G85" s="121">
        <v>75000</v>
      </c>
      <c r="H85" s="123"/>
      <c r="I85" s="17"/>
      <c r="J85" s="17"/>
      <c r="K85" s="17" t="s">
        <v>201</v>
      </c>
      <c r="L85" s="117">
        <v>0.99</v>
      </c>
      <c r="M85" s="142"/>
      <c r="N85" s="135">
        <v>1</v>
      </c>
      <c r="O85" s="118"/>
      <c r="P85" s="118"/>
      <c r="Q85" s="132">
        <v>0</v>
      </c>
      <c r="R85" s="118"/>
      <c r="S85" s="136"/>
      <c r="T85" s="118">
        <v>1</v>
      </c>
      <c r="U85" s="118"/>
      <c r="V85" s="118"/>
      <c r="W85" s="118"/>
    </row>
    <row r="86" spans="1:25" ht="25.5">
      <c r="A86" s="65">
        <f t="shared" si="3"/>
        <v>10</v>
      </c>
      <c r="C86" s="119">
        <v>37466</v>
      </c>
      <c r="D86" s="17" t="s">
        <v>307</v>
      </c>
      <c r="E86" s="20" t="s">
        <v>47</v>
      </c>
      <c r="F86" s="33" t="s">
        <v>197</v>
      </c>
      <c r="G86" s="121">
        <v>3916</v>
      </c>
      <c r="H86" s="122"/>
      <c r="I86" s="17"/>
      <c r="J86" s="17"/>
      <c r="K86" s="17" t="s">
        <v>201</v>
      </c>
      <c r="L86" s="117">
        <v>1</v>
      </c>
      <c r="M86" s="142"/>
      <c r="N86" s="133">
        <v>1</v>
      </c>
      <c r="O86" s="133"/>
      <c r="P86" s="133">
        <v>1</v>
      </c>
      <c r="Q86" s="133">
        <v>1</v>
      </c>
      <c r="R86" s="133"/>
      <c r="S86" s="133"/>
      <c r="T86" s="133">
        <v>1</v>
      </c>
      <c r="U86" s="133">
        <v>1</v>
      </c>
      <c r="V86" s="118"/>
      <c r="W86" s="118"/>
      <c r="X86" s="22"/>
      <c r="Y86" s="22"/>
    </row>
    <row r="87" spans="1:23" ht="25.5">
      <c r="A87" s="65">
        <f>A34+1</f>
        <v>9</v>
      </c>
      <c r="C87" s="119">
        <v>37515</v>
      </c>
      <c r="D87" s="17" t="s">
        <v>357</v>
      </c>
      <c r="E87" s="20" t="s">
        <v>136</v>
      </c>
      <c r="F87" s="40" t="s">
        <v>10</v>
      </c>
      <c r="G87" s="121">
        <v>8000</v>
      </c>
      <c r="H87" s="122"/>
      <c r="I87" s="17"/>
      <c r="J87" s="17"/>
      <c r="K87" s="17" t="s">
        <v>201</v>
      </c>
      <c r="L87" s="107">
        <v>0.2</v>
      </c>
      <c r="M87" s="334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7:8" ht="12.75">
      <c r="G88" s="111"/>
      <c r="H88" s="109"/>
    </row>
    <row r="89" spans="7:8" ht="12.75">
      <c r="G89" s="111"/>
      <c r="H89" s="109"/>
    </row>
    <row r="90" spans="7:8" ht="12.75">
      <c r="G90" s="111"/>
      <c r="H90" s="109"/>
    </row>
    <row r="91" spans="7:8" ht="12.75">
      <c r="G91" s="111"/>
      <c r="H91" s="109"/>
    </row>
    <row r="92" spans="7:8" ht="12.75">
      <c r="G92" s="111"/>
      <c r="H92" s="109"/>
    </row>
    <row r="93" spans="7:8" ht="12.75">
      <c r="G93" s="111"/>
      <c r="H93" s="109"/>
    </row>
    <row r="94" spans="7:8" ht="12.75">
      <c r="G94" s="111"/>
      <c r="H94" s="109"/>
    </row>
    <row r="95" spans="7:8" ht="12.75">
      <c r="G95" s="111"/>
      <c r="H95" s="109"/>
    </row>
    <row r="96" spans="7:8" ht="12.75">
      <c r="G96" s="111"/>
      <c r="H96" s="109"/>
    </row>
    <row r="97" spans="7:8" ht="12.75">
      <c r="G97" s="111"/>
      <c r="H97" s="109"/>
    </row>
    <row r="98" spans="7:8" ht="12.75">
      <c r="G98" s="111"/>
      <c r="H98" s="109"/>
    </row>
    <row r="99" spans="7:8" ht="12.75">
      <c r="G99" s="111"/>
      <c r="H99" s="109"/>
    </row>
    <row r="100" spans="7:8" ht="12.75">
      <c r="G100" s="111"/>
      <c r="H100" s="109"/>
    </row>
    <row r="101" spans="7:8" ht="12.75">
      <c r="G101" s="111"/>
      <c r="H101" s="109"/>
    </row>
    <row r="102" spans="7:8" ht="12.75">
      <c r="G102" s="111"/>
      <c r="H102" s="109"/>
    </row>
    <row r="103" spans="7:8" ht="12.75">
      <c r="G103" s="111"/>
      <c r="H103" s="109"/>
    </row>
    <row r="104" spans="7:8" ht="12.75">
      <c r="G104" s="111"/>
      <c r="H104" s="109"/>
    </row>
    <row r="105" spans="7:8" ht="12.75">
      <c r="G105" s="111"/>
      <c r="H105" s="109"/>
    </row>
    <row r="106" spans="7:8" ht="12.75">
      <c r="G106" s="111"/>
      <c r="H106" s="109"/>
    </row>
    <row r="107" spans="7:8" ht="12.75">
      <c r="G107" s="111"/>
      <c r="H107" s="109"/>
    </row>
    <row r="108" spans="7:8" ht="12.75">
      <c r="G108" s="111"/>
      <c r="H108" s="109"/>
    </row>
    <row r="109" spans="7:8" ht="12.75">
      <c r="G109" s="111"/>
      <c r="H109" s="109"/>
    </row>
    <row r="110" spans="7:8" ht="12.75">
      <c r="G110" s="111"/>
      <c r="H110" s="109"/>
    </row>
    <row r="111" spans="7:8" ht="12.75">
      <c r="G111" s="111"/>
      <c r="H111" s="109"/>
    </row>
    <row r="112" spans="7:8" ht="12.75">
      <c r="G112" s="111"/>
      <c r="H112" s="109"/>
    </row>
    <row r="113" spans="7:8" ht="12.75">
      <c r="G113" s="111"/>
      <c r="H113" s="109"/>
    </row>
    <row r="114" spans="7:8" ht="12.75">
      <c r="G114" s="111"/>
      <c r="H114" s="109"/>
    </row>
    <row r="115" spans="7:8" ht="12.75">
      <c r="G115" s="111"/>
      <c r="H115" s="109"/>
    </row>
    <row r="116" spans="7:8" ht="12.75">
      <c r="G116" s="111"/>
      <c r="H116" s="109"/>
    </row>
    <row r="117" spans="7:8" ht="12.75">
      <c r="G117" s="111"/>
      <c r="H117" s="109"/>
    </row>
    <row r="118" spans="7:8" ht="12.75">
      <c r="G118" s="111"/>
      <c r="H118" s="109"/>
    </row>
    <row r="119" spans="7:8" ht="12.75">
      <c r="G119" s="111"/>
      <c r="H119" s="109"/>
    </row>
    <row r="120" spans="7:8" ht="12.75">
      <c r="G120" s="111"/>
      <c r="H120" s="109"/>
    </row>
    <row r="121" spans="7:8" ht="12.75">
      <c r="G121" s="111"/>
      <c r="H121" s="109"/>
    </row>
    <row r="122" spans="7:8" ht="12.75">
      <c r="G122" s="111"/>
      <c r="H122" s="109"/>
    </row>
    <row r="123" spans="7:8" ht="12.75">
      <c r="G123" s="111"/>
      <c r="H123" s="109"/>
    </row>
    <row r="124" spans="7:8" ht="12.75">
      <c r="G124" s="111"/>
      <c r="H124" s="109"/>
    </row>
    <row r="125" spans="7:8" ht="12.75">
      <c r="G125" s="111"/>
      <c r="H125" s="109"/>
    </row>
    <row r="126" spans="7:8" ht="12.75">
      <c r="G126" s="111"/>
      <c r="H126" s="109"/>
    </row>
    <row r="127" spans="7:8" ht="12.75">
      <c r="G127" s="111"/>
      <c r="H127" s="109"/>
    </row>
    <row r="128" spans="7:8" ht="12.75">
      <c r="G128" s="111"/>
      <c r="H128" s="109"/>
    </row>
    <row r="129" spans="7:8" ht="12.75">
      <c r="G129" s="111"/>
      <c r="H129" s="109"/>
    </row>
    <row r="130" spans="7:8" ht="12.75">
      <c r="G130" s="111"/>
      <c r="H130" s="109"/>
    </row>
    <row r="131" spans="7:8" ht="12.75">
      <c r="G131" s="111"/>
      <c r="H131" s="109"/>
    </row>
    <row r="132" spans="7:8" ht="12.75">
      <c r="G132" s="111"/>
      <c r="H132" s="109"/>
    </row>
    <row r="133" spans="7:8" ht="12.75">
      <c r="G133" s="111"/>
      <c r="H133" s="109"/>
    </row>
    <row r="134" spans="7:8" ht="12.75">
      <c r="G134" s="111"/>
      <c r="H134" s="109"/>
    </row>
    <row r="135" spans="7:8" ht="12.75">
      <c r="G135" s="111"/>
      <c r="H135" s="109"/>
    </row>
    <row r="136" spans="7:8" ht="12.75">
      <c r="G136" s="111"/>
      <c r="H136" s="109"/>
    </row>
    <row r="137" spans="7:8" ht="12.75">
      <c r="G137" s="111"/>
      <c r="H137" s="109"/>
    </row>
    <row r="138" spans="7:8" ht="12.75">
      <c r="G138" s="111"/>
      <c r="H138" s="109"/>
    </row>
    <row r="139" spans="7:8" ht="12.75">
      <c r="G139" s="111"/>
      <c r="H139" s="109"/>
    </row>
    <row r="140" spans="7:8" ht="12.75">
      <c r="G140" s="111"/>
      <c r="H140" s="109"/>
    </row>
    <row r="141" spans="7:8" ht="12.75">
      <c r="G141" s="111"/>
      <c r="H141" s="109"/>
    </row>
    <row r="142" spans="7:8" ht="12.75">
      <c r="G142" s="111"/>
      <c r="H142" s="109"/>
    </row>
    <row r="143" spans="7:8" ht="12.75">
      <c r="G143" s="111"/>
      <c r="H143" s="109"/>
    </row>
    <row r="144" spans="7:8" ht="12.75">
      <c r="G144" s="111"/>
      <c r="H144" s="109"/>
    </row>
    <row r="145" spans="7:8" ht="12.75">
      <c r="G145" s="111"/>
      <c r="H145" s="109"/>
    </row>
    <row r="146" spans="7:8" ht="12.75">
      <c r="G146" s="111"/>
      <c r="H146" s="109"/>
    </row>
    <row r="147" spans="7:8" ht="12.75">
      <c r="G147" s="111"/>
      <c r="H147" s="109"/>
    </row>
    <row r="148" spans="7:8" ht="12.75">
      <c r="G148" s="111"/>
      <c r="H148" s="109"/>
    </row>
    <row r="149" spans="7:8" ht="12.75">
      <c r="G149" s="111"/>
      <c r="H149" s="109"/>
    </row>
    <row r="150" spans="7:8" ht="12.75">
      <c r="G150" s="111"/>
      <c r="H150" s="109"/>
    </row>
    <row r="151" spans="7:8" ht="12.75">
      <c r="G151" s="111"/>
      <c r="H151" s="109"/>
    </row>
    <row r="152" spans="7:8" ht="12.75">
      <c r="G152" s="111"/>
      <c r="H152" s="109"/>
    </row>
    <row r="153" spans="7:8" ht="12.75">
      <c r="G153" s="111"/>
      <c r="H153" s="109"/>
    </row>
    <row r="154" spans="7:8" ht="12.75">
      <c r="G154" s="111"/>
      <c r="H154" s="109"/>
    </row>
    <row r="155" spans="7:8" ht="12.75">
      <c r="G155" s="111"/>
      <c r="H155" s="109"/>
    </row>
    <row r="156" spans="7:8" ht="12.75">
      <c r="G156" s="111"/>
      <c r="H156" s="109"/>
    </row>
    <row r="157" spans="7:8" ht="12.75">
      <c r="G157" s="111"/>
      <c r="H157" s="109"/>
    </row>
    <row r="158" spans="7:8" ht="12.75">
      <c r="G158" s="111"/>
      <c r="H158" s="109"/>
    </row>
    <row r="159" spans="7:8" ht="12.75">
      <c r="G159" s="111"/>
      <c r="H159" s="109"/>
    </row>
    <row r="160" spans="7:8" ht="12.75">
      <c r="G160" s="111"/>
      <c r="H160" s="109"/>
    </row>
    <row r="161" spans="7:8" ht="12.75">
      <c r="G161" s="111"/>
      <c r="H161" s="109"/>
    </row>
    <row r="162" spans="7:8" ht="12.75">
      <c r="G162" s="111"/>
      <c r="H162" s="109"/>
    </row>
    <row r="163" spans="7:8" ht="12.75">
      <c r="G163" s="111"/>
      <c r="H163" s="109"/>
    </row>
    <row r="164" spans="7:8" ht="12.75">
      <c r="G164" s="111"/>
      <c r="H164" s="109"/>
    </row>
    <row r="165" spans="7:8" ht="12.75">
      <c r="G165" s="111"/>
      <c r="H165" s="109"/>
    </row>
    <row r="166" spans="7:8" ht="12.75">
      <c r="G166" s="111"/>
      <c r="H166" s="109"/>
    </row>
    <row r="167" spans="7:8" ht="12.75">
      <c r="G167" s="111"/>
      <c r="H167" s="109"/>
    </row>
    <row r="168" spans="7:8" ht="12.75">
      <c r="G168" s="111"/>
      <c r="H168" s="109"/>
    </row>
    <row r="169" spans="7:8" ht="12.75">
      <c r="G169" s="111"/>
      <c r="H169" s="109"/>
    </row>
    <row r="170" spans="7:8" ht="12.75">
      <c r="G170" s="111"/>
      <c r="H170" s="109"/>
    </row>
    <row r="171" spans="7:8" ht="12.75">
      <c r="G171" s="111"/>
      <c r="H171" s="109"/>
    </row>
    <row r="172" spans="7:8" ht="12.75">
      <c r="G172" s="111"/>
      <c r="H172" s="109"/>
    </row>
    <row r="173" spans="7:8" ht="12.75">
      <c r="G173" s="111"/>
      <c r="H173" s="109"/>
    </row>
    <row r="174" spans="7:8" ht="12.75">
      <c r="G174" s="111"/>
      <c r="H174" s="109"/>
    </row>
    <row r="175" spans="7:8" ht="12.75">
      <c r="G175" s="111"/>
      <c r="H175" s="109"/>
    </row>
    <row r="176" spans="7:8" ht="12.75">
      <c r="G176" s="111"/>
      <c r="H176" s="109"/>
    </row>
    <row r="177" spans="7:8" ht="12.75">
      <c r="G177" s="111"/>
      <c r="H177" s="109"/>
    </row>
    <row r="178" spans="7:8" ht="12.75">
      <c r="G178" s="111"/>
      <c r="H178" s="109"/>
    </row>
    <row r="179" spans="7:8" ht="12.75">
      <c r="G179" s="111"/>
      <c r="H179" s="109"/>
    </row>
    <row r="180" spans="7:8" ht="12.75">
      <c r="G180" s="111"/>
      <c r="H180" s="109"/>
    </row>
    <row r="181" spans="7:8" ht="12.75">
      <c r="G181" s="111"/>
      <c r="H181" s="109"/>
    </row>
    <row r="182" spans="7:8" ht="12.75">
      <c r="G182" s="111"/>
      <c r="H182" s="109"/>
    </row>
    <row r="183" spans="7:8" ht="12.75">
      <c r="G183" s="111"/>
      <c r="H183" s="109"/>
    </row>
    <row r="184" spans="7:8" ht="12.75">
      <c r="G184" s="111"/>
      <c r="H184" s="109"/>
    </row>
    <row r="185" spans="7:8" ht="12.75">
      <c r="G185" s="111"/>
      <c r="H185" s="109"/>
    </row>
    <row r="186" spans="7:8" ht="12.75">
      <c r="G186" s="111"/>
      <c r="H186" s="109"/>
    </row>
    <row r="187" spans="7:8" ht="12.75">
      <c r="G187" s="111"/>
      <c r="H187" s="109"/>
    </row>
    <row r="188" spans="7:8" ht="12.75">
      <c r="G188" s="111"/>
      <c r="H188" s="109"/>
    </row>
    <row r="189" spans="7:8" ht="12.75">
      <c r="G189" s="111"/>
      <c r="H189" s="109"/>
    </row>
    <row r="190" spans="7:8" ht="12.75">
      <c r="G190" s="111"/>
      <c r="H190" s="109"/>
    </row>
    <row r="191" spans="7:8" ht="12.75">
      <c r="G191" s="111"/>
      <c r="H191" s="109"/>
    </row>
    <row r="192" spans="7:8" ht="12.75">
      <c r="G192" s="111"/>
      <c r="H192" s="109"/>
    </row>
    <row r="193" spans="7:8" ht="12.75">
      <c r="G193" s="111"/>
      <c r="H193" s="109"/>
    </row>
    <row r="194" spans="7:8" ht="12.75">
      <c r="G194" s="111"/>
      <c r="H194" s="109"/>
    </row>
    <row r="195" spans="7:8" ht="12.75">
      <c r="G195" s="111"/>
      <c r="H195" s="109"/>
    </row>
    <row r="196" spans="7:8" ht="12.75">
      <c r="G196" s="111"/>
      <c r="H196" s="109"/>
    </row>
    <row r="197" spans="7:8" ht="12.75">
      <c r="G197" s="111"/>
      <c r="H197" s="109"/>
    </row>
    <row r="198" spans="7:8" ht="12.75">
      <c r="G198" s="111"/>
      <c r="H198" s="109"/>
    </row>
    <row r="199" spans="7:8" ht="12.75">
      <c r="G199" s="111"/>
      <c r="H199" s="109"/>
    </row>
    <row r="200" spans="7:8" ht="12.75">
      <c r="G200" s="111"/>
      <c r="H200" s="109"/>
    </row>
    <row r="201" spans="7:8" ht="12.75">
      <c r="G201" s="111"/>
      <c r="H201" s="109"/>
    </row>
    <row r="202" spans="7:8" ht="12.75">
      <c r="G202" s="111"/>
      <c r="H202" s="109"/>
    </row>
    <row r="203" spans="7:8" ht="12.75">
      <c r="G203" s="111"/>
      <c r="H203" s="109"/>
    </row>
    <row r="204" spans="7:8" ht="12.75">
      <c r="G204" s="111"/>
      <c r="H204" s="109"/>
    </row>
    <row r="205" spans="7:8" ht="12.75">
      <c r="G205" s="111"/>
      <c r="H205" s="109"/>
    </row>
    <row r="206" spans="7:8" ht="12.75">
      <c r="G206" s="111"/>
      <c r="H206" s="109"/>
    </row>
    <row r="207" spans="7:8" ht="12.75">
      <c r="G207" s="111"/>
      <c r="H207" s="109"/>
    </row>
    <row r="208" spans="7:8" ht="12.75">
      <c r="G208" s="111"/>
      <c r="H208" s="109"/>
    </row>
    <row r="209" spans="7:8" ht="12.75">
      <c r="G209" s="111"/>
      <c r="H209" s="109"/>
    </row>
    <row r="210" spans="7:8" ht="12.75">
      <c r="G210" s="111"/>
      <c r="H210" s="109"/>
    </row>
    <row r="211" spans="7:8" ht="12.75">
      <c r="G211" s="111"/>
      <c r="H211" s="109"/>
    </row>
    <row r="212" spans="7:8" ht="12.75">
      <c r="G212" s="111"/>
      <c r="H212" s="109"/>
    </row>
    <row r="213" spans="7:8" ht="12.75">
      <c r="G213" s="111"/>
      <c r="H213" s="109"/>
    </row>
    <row r="214" spans="7:8" ht="12.75">
      <c r="G214" s="111"/>
      <c r="H214" s="109"/>
    </row>
    <row r="215" spans="7:8" ht="12.75">
      <c r="G215" s="111"/>
      <c r="H215" s="109"/>
    </row>
    <row r="216" spans="7:8" ht="12.75">
      <c r="G216" s="111"/>
      <c r="H216" s="109"/>
    </row>
    <row r="217" spans="7:8" ht="12.75">
      <c r="G217" s="111"/>
      <c r="H217" s="109"/>
    </row>
    <row r="218" spans="7:8" ht="12.75">
      <c r="G218" s="111"/>
      <c r="H218" s="109"/>
    </row>
    <row r="219" spans="7:8" ht="12.75">
      <c r="G219" s="111"/>
      <c r="H219" s="109"/>
    </row>
    <row r="220" spans="7:8" ht="12.75">
      <c r="G220" s="111"/>
      <c r="H220" s="109"/>
    </row>
    <row r="221" spans="7:8" ht="12.75">
      <c r="G221" s="111"/>
      <c r="H221" s="109"/>
    </row>
    <row r="222" spans="7:8" ht="12.75">
      <c r="G222" s="111"/>
      <c r="H222" s="109"/>
    </row>
    <row r="223" spans="7:8" ht="12.75">
      <c r="G223" s="111"/>
      <c r="H223" s="109"/>
    </row>
    <row r="224" spans="7:8" ht="12.75">
      <c r="G224" s="111"/>
      <c r="H224" s="109"/>
    </row>
    <row r="225" spans="7:8" ht="12.75">
      <c r="G225" s="111"/>
      <c r="H225" s="109"/>
    </row>
    <row r="226" spans="7:8" ht="12.75">
      <c r="G226" s="111"/>
      <c r="H226" s="109"/>
    </row>
    <row r="227" spans="7:8" ht="12.75">
      <c r="G227" s="111"/>
      <c r="H227" s="109"/>
    </row>
    <row r="228" spans="7:8" ht="12.75">
      <c r="G228" s="111"/>
      <c r="H228" s="109"/>
    </row>
    <row r="229" spans="7:8" ht="12.75">
      <c r="G229" s="111"/>
      <c r="H229" s="109"/>
    </row>
    <row r="230" spans="7:8" ht="12.75">
      <c r="G230" s="111"/>
      <c r="H230" s="109"/>
    </row>
    <row r="231" spans="7:8" ht="12.75">
      <c r="G231" s="111"/>
      <c r="H231" s="109"/>
    </row>
    <row r="232" spans="7:8" ht="12.75">
      <c r="G232" s="111"/>
      <c r="H232" s="109"/>
    </row>
    <row r="233" spans="7:8" ht="12.75">
      <c r="G233" s="111"/>
      <c r="H233" s="109"/>
    </row>
    <row r="234" spans="7:8" ht="12.75">
      <c r="G234" s="111"/>
      <c r="H234" s="109"/>
    </row>
    <row r="235" spans="7:8" ht="12.75">
      <c r="G235" s="111"/>
      <c r="H235" s="109"/>
    </row>
    <row r="236" spans="7:8" ht="12.75">
      <c r="G236" s="111"/>
      <c r="H236" s="109"/>
    </row>
    <row r="237" spans="7:8" ht="12.75">
      <c r="G237" s="111"/>
      <c r="H237" s="109"/>
    </row>
    <row r="238" spans="7:8" ht="12.75">
      <c r="G238" s="111"/>
      <c r="H238" s="109"/>
    </row>
    <row r="239" spans="7:8" ht="12.75">
      <c r="G239" s="111"/>
      <c r="H239" s="109"/>
    </row>
    <row r="240" spans="7:8" ht="12.75">
      <c r="G240" s="111"/>
      <c r="H240" s="109"/>
    </row>
    <row r="241" spans="7:8" ht="12.75">
      <c r="G241" s="111"/>
      <c r="H241" s="109"/>
    </row>
    <row r="242" spans="7:8" ht="12.75">
      <c r="G242" s="111"/>
      <c r="H242" s="109"/>
    </row>
    <row r="243" spans="7:8" ht="12.75">
      <c r="G243" s="111"/>
      <c r="H243" s="109"/>
    </row>
    <row r="244" spans="7:8" ht="12.75">
      <c r="G244" s="111"/>
      <c r="H244" s="109"/>
    </row>
    <row r="245" spans="7:8" ht="12.75">
      <c r="G245" s="111"/>
      <c r="H245" s="109"/>
    </row>
    <row r="246" spans="7:8" ht="12.75">
      <c r="G246" s="111"/>
      <c r="H246" s="109"/>
    </row>
    <row r="247" spans="7:8" ht="12.75">
      <c r="G247" s="111"/>
      <c r="H247" s="109"/>
    </row>
    <row r="248" spans="7:8" ht="12.75">
      <c r="G248" s="111"/>
      <c r="H248" s="109"/>
    </row>
    <row r="249" spans="7:8" ht="12.75">
      <c r="G249" s="111"/>
      <c r="H249" s="109"/>
    </row>
    <row r="250" spans="7:8" ht="12.75">
      <c r="G250" s="111"/>
      <c r="H250" s="109"/>
    </row>
    <row r="251" spans="7:8" ht="12.75">
      <c r="G251" s="111"/>
      <c r="H251" s="109"/>
    </row>
    <row r="252" spans="7:8" ht="12.75">
      <c r="G252" s="111"/>
      <c r="H252" s="109"/>
    </row>
    <row r="253" spans="7:8" ht="12.75">
      <c r="G253" s="111"/>
      <c r="H253" s="109"/>
    </row>
    <row r="254" spans="7:8" ht="12.75">
      <c r="G254" s="111"/>
      <c r="H254" s="109"/>
    </row>
    <row r="255" spans="7:8" ht="12.75">
      <c r="G255" s="111"/>
      <c r="H255" s="109"/>
    </row>
    <row r="256" spans="7:8" ht="12.75">
      <c r="G256" s="111"/>
      <c r="H256" s="109"/>
    </row>
    <row r="257" spans="7:8" ht="12.75">
      <c r="G257" s="111"/>
      <c r="H257" s="109"/>
    </row>
    <row r="258" spans="7:8" ht="12.75">
      <c r="G258" s="111"/>
      <c r="H258" s="109"/>
    </row>
    <row r="259" spans="7:8" ht="12.75">
      <c r="G259" s="111"/>
      <c r="H259" s="109"/>
    </row>
    <row r="260" spans="7:8" ht="12.75">
      <c r="G260" s="111"/>
      <c r="H260" s="109"/>
    </row>
    <row r="261" spans="7:8" ht="12.75">
      <c r="G261" s="111"/>
      <c r="H261" s="109"/>
    </row>
    <row r="262" spans="7:8" ht="12.75">
      <c r="G262" s="111"/>
      <c r="H262" s="109"/>
    </row>
    <row r="263" spans="7:8" ht="12.75">
      <c r="G263" s="111"/>
      <c r="H263" s="109"/>
    </row>
    <row r="264" spans="7:8" ht="12.75">
      <c r="G264" s="111"/>
      <c r="H264" s="109"/>
    </row>
    <row r="265" spans="7:8" ht="12.75">
      <c r="G265" s="111"/>
      <c r="H265" s="109"/>
    </row>
    <row r="266" spans="7:8" ht="12.75">
      <c r="G266" s="111"/>
      <c r="H266" s="109"/>
    </row>
    <row r="267" spans="7:8" ht="12.75">
      <c r="G267" s="111"/>
      <c r="H267" s="109"/>
    </row>
    <row r="268" spans="7:8" ht="12.75">
      <c r="G268" s="111"/>
      <c r="H268" s="109"/>
    </row>
    <row r="269" spans="7:8" ht="12.75">
      <c r="G269" s="111"/>
      <c r="H269" s="109"/>
    </row>
    <row r="270" spans="7:8" ht="12.75">
      <c r="G270" s="111"/>
      <c r="H270" s="109"/>
    </row>
    <row r="271" spans="7:8" ht="12.75">
      <c r="G271" s="111"/>
      <c r="H271" s="109"/>
    </row>
    <row r="272" spans="7:8" ht="12.75">
      <c r="G272" s="111"/>
      <c r="H272" s="109"/>
    </row>
    <row r="273" spans="7:8" ht="12.75">
      <c r="G273" s="111"/>
      <c r="H273" s="109"/>
    </row>
    <row r="274" spans="7:8" ht="12.75">
      <c r="G274" s="111"/>
      <c r="H274" s="109"/>
    </row>
    <row r="275" spans="7:8" ht="12.75">
      <c r="G275" s="111"/>
      <c r="H275" s="109"/>
    </row>
    <row r="276" spans="7:8" ht="12.75">
      <c r="G276" s="111"/>
      <c r="H276" s="109"/>
    </row>
    <row r="277" spans="7:8" ht="12.75">
      <c r="G277" s="111"/>
      <c r="H277" s="109"/>
    </row>
    <row r="278" spans="7:8" ht="12.75">
      <c r="G278" s="111"/>
      <c r="H278" s="109"/>
    </row>
    <row r="279" spans="7:8" ht="12.75">
      <c r="G279" s="111"/>
      <c r="H279" s="109"/>
    </row>
    <row r="280" spans="7:8" ht="12.75">
      <c r="G280" s="111"/>
      <c r="H280" s="109"/>
    </row>
    <row r="281" spans="7:8" ht="12.75">
      <c r="G281" s="111"/>
      <c r="H281" s="109"/>
    </row>
    <row r="282" spans="7:8" ht="12.75">
      <c r="G282" s="111"/>
      <c r="H282" s="109"/>
    </row>
    <row r="283" spans="7:8" ht="12.75">
      <c r="G283" s="111"/>
      <c r="H283" s="109"/>
    </row>
    <row r="284" spans="7:8" ht="12.75">
      <c r="G284" s="111"/>
      <c r="H284" s="109"/>
    </row>
    <row r="285" spans="7:8" ht="12.75">
      <c r="G285" s="111"/>
      <c r="H285" s="109"/>
    </row>
    <row r="286" spans="7:8" ht="12.75">
      <c r="G286" s="111"/>
      <c r="H286" s="109"/>
    </row>
    <row r="287" spans="7:8" ht="12.75">
      <c r="G287" s="111"/>
      <c r="H287" s="109"/>
    </row>
    <row r="288" spans="7:8" ht="12.75">
      <c r="G288" s="111"/>
      <c r="H288" s="109"/>
    </row>
    <row r="289" spans="7:8" ht="12.75">
      <c r="G289" s="111"/>
      <c r="H289" s="109"/>
    </row>
    <row r="290" spans="7:8" ht="12.75">
      <c r="G290" s="111"/>
      <c r="H290" s="109"/>
    </row>
    <row r="291" spans="7:8" ht="12.75">
      <c r="G291" s="111"/>
      <c r="H291" s="109"/>
    </row>
    <row r="292" spans="7:8" ht="12.75">
      <c r="G292" s="111"/>
      <c r="H292" s="109"/>
    </row>
    <row r="293" spans="7:8" ht="12.75">
      <c r="G293" s="111"/>
      <c r="H293" s="109"/>
    </row>
    <row r="294" spans="7:8" ht="12.75">
      <c r="G294" s="111"/>
      <c r="H294" s="109"/>
    </row>
    <row r="295" spans="7:8" ht="12.75">
      <c r="G295" s="111"/>
      <c r="H295" s="109"/>
    </row>
    <row r="296" spans="7:8" ht="12.75">
      <c r="G296" s="111"/>
      <c r="H296" s="109"/>
    </row>
    <row r="297" spans="7:8" ht="12.75">
      <c r="G297" s="111"/>
      <c r="H297" s="109"/>
    </row>
    <row r="298" spans="7:8" ht="12.75">
      <c r="G298" s="111"/>
      <c r="H298" s="109"/>
    </row>
    <row r="299" spans="7:8" ht="12.75">
      <c r="G299" s="111"/>
      <c r="H299" s="109"/>
    </row>
    <row r="300" spans="7:8" ht="12.75">
      <c r="G300" s="111"/>
      <c r="H300" s="109"/>
    </row>
    <row r="301" spans="7:8" ht="12.75">
      <c r="G301" s="111"/>
      <c r="H301" s="109"/>
    </row>
    <row r="302" spans="7:8" ht="12.75">
      <c r="G302" s="111"/>
      <c r="H302" s="109"/>
    </row>
    <row r="303" spans="7:8" ht="12.75">
      <c r="G303" s="111"/>
      <c r="H303" s="109"/>
    </row>
    <row r="304" spans="7:8" ht="12.75">
      <c r="G304" s="111"/>
      <c r="H304" s="109"/>
    </row>
    <row r="305" spans="7:8" ht="12.75">
      <c r="G305" s="111"/>
      <c r="H305" s="109"/>
    </row>
    <row r="306" spans="7:8" ht="12.75">
      <c r="G306" s="111"/>
      <c r="H306" s="109"/>
    </row>
    <row r="307" spans="7:8" ht="12.75">
      <c r="G307" s="111"/>
      <c r="H307" s="109"/>
    </row>
    <row r="308" spans="7:8" ht="12.75">
      <c r="G308" s="111"/>
      <c r="H308" s="109"/>
    </row>
    <row r="309" spans="7:8" ht="12.75">
      <c r="G309" s="111"/>
      <c r="H309" s="109"/>
    </row>
    <row r="310" spans="7:8" ht="12.75">
      <c r="G310" s="111"/>
      <c r="H310" s="109"/>
    </row>
    <row r="311" spans="7:8" ht="12.75">
      <c r="G311" s="111"/>
      <c r="H311" s="109"/>
    </row>
    <row r="312" spans="7:8" ht="12.75">
      <c r="G312" s="111"/>
      <c r="H312" s="109"/>
    </row>
    <row r="313" spans="7:8" ht="12.75">
      <c r="G313" s="111"/>
      <c r="H313" s="109"/>
    </row>
    <row r="314" spans="7:8" ht="12.75">
      <c r="G314" s="111"/>
      <c r="H314" s="109"/>
    </row>
    <row r="315" spans="7:8" ht="12.75">
      <c r="G315" s="111"/>
      <c r="H315" s="109"/>
    </row>
    <row r="316" spans="7:8" ht="12.75">
      <c r="G316" s="111"/>
      <c r="H316" s="109"/>
    </row>
    <row r="317" spans="7:8" ht="12.75">
      <c r="G317" s="111"/>
      <c r="H317" s="109"/>
    </row>
    <row r="318" spans="7:8" ht="12.75">
      <c r="G318" s="111"/>
      <c r="H318" s="109"/>
    </row>
    <row r="319" spans="7:8" ht="12.75">
      <c r="G319" s="111"/>
      <c r="H319" s="109"/>
    </row>
    <row r="320" spans="7:8" ht="12.75">
      <c r="G320" s="111"/>
      <c r="H320" s="109"/>
    </row>
    <row r="321" spans="7:8" ht="12.75">
      <c r="G321" s="111"/>
      <c r="H321" s="109"/>
    </row>
    <row r="322" spans="7:8" ht="12.75">
      <c r="G322" s="111"/>
      <c r="H322" s="109"/>
    </row>
    <row r="323" spans="7:8" ht="12.75">
      <c r="G323" s="111"/>
      <c r="H323" s="109"/>
    </row>
    <row r="324" spans="7:8" ht="12.75">
      <c r="G324" s="111"/>
      <c r="H324" s="109"/>
    </row>
    <row r="325" spans="7:8" ht="12.75">
      <c r="G325" s="111"/>
      <c r="H325" s="109"/>
    </row>
    <row r="326" spans="7:8" ht="12.75">
      <c r="G326" s="111"/>
      <c r="H326" s="109"/>
    </row>
    <row r="327" spans="7:8" ht="12.75">
      <c r="G327" s="111"/>
      <c r="H327" s="109"/>
    </row>
    <row r="328" spans="7:8" ht="12.75">
      <c r="G328" s="111"/>
      <c r="H328" s="109"/>
    </row>
    <row r="329" spans="7:8" ht="12.75">
      <c r="G329" s="111"/>
      <c r="H329" s="109"/>
    </row>
    <row r="330" spans="7:8" ht="12.75">
      <c r="G330" s="111"/>
      <c r="H330" s="109"/>
    </row>
    <row r="331" spans="7:8" ht="12.75">
      <c r="G331" s="111"/>
      <c r="H331" s="109"/>
    </row>
    <row r="332" spans="7:8" ht="12.75">
      <c r="G332" s="111"/>
      <c r="H332" s="109"/>
    </row>
    <row r="333" spans="7:8" ht="12.75">
      <c r="G333" s="111"/>
      <c r="H333" s="109"/>
    </row>
    <row r="334" spans="7:8" ht="12.75">
      <c r="G334" s="111"/>
      <c r="H334" s="109"/>
    </row>
    <row r="335" spans="7:8" ht="12.75">
      <c r="G335" s="111"/>
      <c r="H335" s="109"/>
    </row>
    <row r="336" spans="7:8" ht="12.75">
      <c r="G336" s="111"/>
      <c r="H336" s="109"/>
    </row>
    <row r="337" spans="7:8" ht="12.75">
      <c r="G337" s="111"/>
      <c r="H337" s="109"/>
    </row>
    <row r="338" spans="7:8" ht="12.75">
      <c r="G338" s="111"/>
      <c r="H338" s="109"/>
    </row>
    <row r="339" spans="7:8" ht="12.75">
      <c r="G339" s="111"/>
      <c r="H339" s="109"/>
    </row>
    <row r="340" spans="7:8" ht="12.75">
      <c r="G340" s="111"/>
      <c r="H340" s="109"/>
    </row>
    <row r="341" spans="7:8" ht="12.75">
      <c r="G341" s="111"/>
      <c r="H341" s="109"/>
    </row>
    <row r="342" spans="7:8" ht="12.75">
      <c r="G342" s="111"/>
      <c r="H342" s="109"/>
    </row>
    <row r="343" spans="7:8" ht="12.75">
      <c r="G343" s="111"/>
      <c r="H343" s="109"/>
    </row>
    <row r="344" spans="7:8" ht="12.75">
      <c r="G344" s="111"/>
      <c r="H344" s="109"/>
    </row>
    <row r="345" spans="7:8" ht="12.75">
      <c r="G345" s="111"/>
      <c r="H345" s="109"/>
    </row>
    <row r="346" spans="7:8" ht="12.75">
      <c r="G346" s="111"/>
      <c r="H346" s="109"/>
    </row>
    <row r="347" spans="7:8" ht="12.75">
      <c r="G347" s="111"/>
      <c r="H347" s="109"/>
    </row>
    <row r="348" spans="7:8" ht="12.75">
      <c r="G348" s="111"/>
      <c r="H348" s="109"/>
    </row>
    <row r="349" spans="7:8" ht="12.75">
      <c r="G349" s="111"/>
      <c r="H349" s="109"/>
    </row>
    <row r="350" spans="7:8" ht="12.75">
      <c r="G350" s="111"/>
      <c r="H350" s="109"/>
    </row>
    <row r="351" spans="7:8" ht="12.75">
      <c r="G351" s="111"/>
      <c r="H351" s="109"/>
    </row>
    <row r="352" spans="7:8" ht="12.75">
      <c r="G352" s="111"/>
      <c r="H352" s="109"/>
    </row>
    <row r="353" spans="7:8" ht="12.75">
      <c r="G353" s="111"/>
      <c r="H353" s="109"/>
    </row>
    <row r="354" spans="7:8" ht="12.75">
      <c r="G354" s="111"/>
      <c r="H354" s="109"/>
    </row>
    <row r="355" spans="7:8" ht="12.75">
      <c r="G355" s="111"/>
      <c r="H355" s="109"/>
    </row>
    <row r="356" spans="7:8" ht="12.75">
      <c r="G356" s="111"/>
      <c r="H356" s="109"/>
    </row>
    <row r="357" spans="7:8" ht="12.75">
      <c r="G357" s="111"/>
      <c r="H357" s="109"/>
    </row>
    <row r="358" spans="7:8" ht="12.75">
      <c r="G358" s="111"/>
      <c r="H358" s="109"/>
    </row>
    <row r="359" spans="7:8" ht="12.75">
      <c r="G359" s="111"/>
      <c r="H359" s="109"/>
    </row>
    <row r="360" spans="7:8" ht="12.75">
      <c r="G360" s="111"/>
      <c r="H360" s="109"/>
    </row>
    <row r="361" spans="7:8" ht="12.75">
      <c r="G361" s="111"/>
      <c r="H361" s="109"/>
    </row>
    <row r="362" spans="7:8" ht="12.75">
      <c r="G362" s="111"/>
      <c r="H362" s="109"/>
    </row>
    <row r="363" spans="7:8" ht="12.75">
      <c r="G363" s="111"/>
      <c r="H363" s="109"/>
    </row>
    <row r="364" spans="7:8" ht="12.75">
      <c r="G364" s="111"/>
      <c r="H364" s="109"/>
    </row>
    <row r="365" spans="7:8" ht="12.75">
      <c r="G365" s="111"/>
      <c r="H365" s="109"/>
    </row>
    <row r="366" spans="7:8" ht="12.75">
      <c r="G366" s="111"/>
      <c r="H366" s="109"/>
    </row>
    <row r="367" spans="7:8" ht="12.75">
      <c r="G367" s="111"/>
      <c r="H367" s="109"/>
    </row>
    <row r="368" spans="7:8" ht="12.75">
      <c r="G368" s="111"/>
      <c r="H368" s="109"/>
    </row>
    <row r="369" spans="7:8" ht="12.75">
      <c r="G369" s="111"/>
      <c r="H369" s="109"/>
    </row>
    <row r="370" spans="7:8" ht="12.75">
      <c r="G370" s="111"/>
      <c r="H370" s="109"/>
    </row>
    <row r="371" spans="7:8" ht="12.75">
      <c r="G371" s="111"/>
      <c r="H371" s="109"/>
    </row>
    <row r="372" spans="7:8" ht="12.75">
      <c r="G372" s="111"/>
      <c r="H372" s="109"/>
    </row>
    <row r="373" spans="7:8" ht="12.75">
      <c r="G373" s="111"/>
      <c r="H373" s="109"/>
    </row>
    <row r="374" spans="7:8" ht="12.75">
      <c r="G374" s="111"/>
      <c r="H374" s="109"/>
    </row>
    <row r="375" spans="7:8" ht="12.75">
      <c r="G375" s="111"/>
      <c r="H375" s="109"/>
    </row>
    <row r="376" spans="7:8" ht="12.75">
      <c r="G376" s="111"/>
      <c r="H376" s="109"/>
    </row>
    <row r="377" spans="7:8" ht="12.75">
      <c r="G377" s="111"/>
      <c r="H377" s="109"/>
    </row>
    <row r="378" spans="7:8" ht="12.75">
      <c r="G378" s="111"/>
      <c r="H378" s="109"/>
    </row>
    <row r="379" spans="7:8" ht="12.75">
      <c r="G379" s="111"/>
      <c r="H379" s="109"/>
    </row>
    <row r="380" spans="7:8" ht="12.75">
      <c r="G380" s="111"/>
      <c r="H380" s="109"/>
    </row>
    <row r="381" spans="7:8" ht="12.75">
      <c r="G381" s="111"/>
      <c r="H381" s="109"/>
    </row>
    <row r="382" spans="7:8" ht="12.75">
      <c r="G382" s="111"/>
      <c r="H382" s="109"/>
    </row>
    <row r="383" spans="7:8" ht="12.75">
      <c r="G383" s="111"/>
      <c r="H383" s="109"/>
    </row>
    <row r="384" spans="7:8" ht="12.75">
      <c r="G384" s="111"/>
      <c r="H384" s="109"/>
    </row>
    <row r="385" spans="7:8" ht="12.75">
      <c r="G385" s="111"/>
      <c r="H385" s="109"/>
    </row>
    <row r="386" spans="7:8" ht="12.75">
      <c r="G386" s="111"/>
      <c r="H386" s="109"/>
    </row>
    <row r="387" spans="7:8" ht="12.75">
      <c r="G387" s="111"/>
      <c r="H387" s="109"/>
    </row>
    <row r="388" spans="7:8" ht="12.75">
      <c r="G388" s="111"/>
      <c r="H388" s="109"/>
    </row>
    <row r="389" spans="7:8" ht="12.75">
      <c r="G389" s="111"/>
      <c r="H389" s="109"/>
    </row>
    <row r="390" spans="7:8" ht="12.75">
      <c r="G390" s="111"/>
      <c r="H390" s="109"/>
    </row>
    <row r="391" spans="7:8" ht="12.75">
      <c r="G391" s="111"/>
      <c r="H391" s="109"/>
    </row>
    <row r="392" spans="7:8" ht="12.75">
      <c r="G392" s="111"/>
      <c r="H392" s="109"/>
    </row>
    <row r="393" spans="7:8" ht="12.75">
      <c r="G393" s="111"/>
      <c r="H393" s="109"/>
    </row>
    <row r="394" spans="7:8" ht="12.75">
      <c r="G394" s="111"/>
      <c r="H394" s="109"/>
    </row>
    <row r="395" spans="7:8" ht="12.75">
      <c r="G395" s="111"/>
      <c r="H395" s="109"/>
    </row>
    <row r="396" spans="7:8" ht="12.75">
      <c r="G396" s="111"/>
      <c r="H396" s="109"/>
    </row>
    <row r="397" spans="7:8" ht="12.75">
      <c r="G397" s="111"/>
      <c r="H397" s="109"/>
    </row>
    <row r="398" spans="7:8" ht="12.75">
      <c r="G398" s="111"/>
      <c r="H398" s="109"/>
    </row>
    <row r="399" spans="7:8" ht="12.75">
      <c r="G399" s="111"/>
      <c r="H399" s="109"/>
    </row>
    <row r="400" spans="7:8" ht="12.75">
      <c r="G400" s="111"/>
      <c r="H400" s="109"/>
    </row>
    <row r="401" spans="7:8" ht="12.75">
      <c r="G401" s="111"/>
      <c r="H401" s="109"/>
    </row>
    <row r="402" spans="7:8" ht="12.75">
      <c r="G402" s="111"/>
      <c r="H402" s="109"/>
    </row>
    <row r="403" spans="7:8" ht="12.75">
      <c r="G403" s="111"/>
      <c r="H403" s="109"/>
    </row>
    <row r="404" spans="7:8" ht="12.75">
      <c r="G404" s="111"/>
      <c r="H404" s="109"/>
    </row>
    <row r="405" spans="7:8" ht="12.75">
      <c r="G405" s="111"/>
      <c r="H405" s="109"/>
    </row>
    <row r="406" spans="7:8" ht="12.75">
      <c r="G406" s="111"/>
      <c r="H406" s="109"/>
    </row>
    <row r="407" spans="7:8" ht="12.75">
      <c r="G407" s="111"/>
      <c r="H407" s="109"/>
    </row>
    <row r="408" spans="7:8" ht="12.75">
      <c r="G408" s="111"/>
      <c r="H408" s="109"/>
    </row>
    <row r="409" spans="7:8" ht="12.75">
      <c r="G409" s="111"/>
      <c r="H409" s="109"/>
    </row>
    <row r="410" spans="7:8" ht="12.75">
      <c r="G410" s="111"/>
      <c r="H410" s="109"/>
    </row>
    <row r="411" spans="7:8" ht="12.75">
      <c r="G411" s="111"/>
      <c r="H411" s="109"/>
    </row>
    <row r="412" spans="7:8" ht="12.75">
      <c r="G412" s="111"/>
      <c r="H412" s="109"/>
    </row>
    <row r="413" spans="7:8" ht="12.75">
      <c r="G413" s="111"/>
      <c r="H413" s="109"/>
    </row>
    <row r="414" spans="7:8" ht="12.75">
      <c r="G414" s="111"/>
      <c r="H414" s="109"/>
    </row>
    <row r="415" spans="7:8" ht="12.75">
      <c r="G415" s="111"/>
      <c r="H415" s="109"/>
    </row>
    <row r="416" spans="7:8" ht="12.75">
      <c r="G416" s="111"/>
      <c r="H416" s="109"/>
    </row>
    <row r="417" spans="7:8" ht="12.75">
      <c r="G417" s="111"/>
      <c r="H417" s="109"/>
    </row>
    <row r="418" spans="7:8" ht="12.75">
      <c r="G418" s="111"/>
      <c r="H418" s="109"/>
    </row>
    <row r="419" spans="7:8" ht="12.75">
      <c r="G419" s="111"/>
      <c r="H419" s="109"/>
    </row>
    <row r="420" spans="7:8" ht="12.75">
      <c r="G420" s="111"/>
      <c r="H420" s="109"/>
    </row>
    <row r="421" spans="7:8" ht="12.75">
      <c r="G421" s="111"/>
      <c r="H421" s="109"/>
    </row>
    <row r="422" spans="7:8" ht="12.75">
      <c r="G422" s="111"/>
      <c r="H422" s="109"/>
    </row>
    <row r="423" spans="7:8" ht="12.75">
      <c r="G423" s="111"/>
      <c r="H423" s="109"/>
    </row>
    <row r="424" spans="7:8" ht="12.75">
      <c r="G424" s="111"/>
      <c r="H424" s="109"/>
    </row>
    <row r="425" spans="7:8" ht="12.75">
      <c r="G425" s="111"/>
      <c r="H425" s="109"/>
    </row>
    <row r="426" spans="7:8" ht="12.75">
      <c r="G426" s="111"/>
      <c r="H426" s="109"/>
    </row>
    <row r="427" spans="7:8" ht="12.75">
      <c r="G427" s="111"/>
      <c r="H427" s="109"/>
    </row>
    <row r="428" spans="7:8" ht="12.75">
      <c r="G428" s="111"/>
      <c r="H428" s="109"/>
    </row>
    <row r="429" spans="7:8" ht="12.75">
      <c r="G429" s="111"/>
      <c r="H429" s="109"/>
    </row>
    <row r="430" spans="7:8" ht="12.75">
      <c r="G430" s="111"/>
      <c r="H430" s="109"/>
    </row>
    <row r="431" spans="7:8" ht="12.75">
      <c r="G431" s="111"/>
      <c r="H431" s="109"/>
    </row>
    <row r="432" spans="7:8" ht="12.75">
      <c r="G432" s="111"/>
      <c r="H432" s="109"/>
    </row>
    <row r="433" spans="7:8" ht="12.75">
      <c r="G433" s="111"/>
      <c r="H433" s="109"/>
    </row>
    <row r="434" spans="7:8" ht="12.75">
      <c r="G434" s="111"/>
      <c r="H434" s="109"/>
    </row>
    <row r="435" spans="7:8" ht="12.75">
      <c r="G435" s="111"/>
      <c r="H435" s="109"/>
    </row>
    <row r="436" spans="7:8" ht="12.75">
      <c r="G436" s="111"/>
      <c r="H436" s="109"/>
    </row>
    <row r="437" spans="7:8" ht="12.75">
      <c r="G437" s="111"/>
      <c r="H437" s="109"/>
    </row>
    <row r="438" spans="7:8" ht="12.75">
      <c r="G438" s="111"/>
      <c r="H438" s="109"/>
    </row>
    <row r="439" spans="7:8" ht="12.75">
      <c r="G439" s="111"/>
      <c r="H439" s="109"/>
    </row>
    <row r="440" spans="7:8" ht="12.75">
      <c r="G440" s="111"/>
      <c r="H440" s="109"/>
    </row>
    <row r="441" spans="7:8" ht="12.75">
      <c r="G441" s="111"/>
      <c r="H441" s="109"/>
    </row>
    <row r="442" spans="7:8" ht="12.75">
      <c r="G442" s="111"/>
      <c r="H442" s="109"/>
    </row>
    <row r="443" spans="7:8" ht="12.75">
      <c r="G443" s="111"/>
      <c r="H443" s="109"/>
    </row>
    <row r="444" spans="7:8" ht="12.75">
      <c r="G444" s="111"/>
      <c r="H444" s="109"/>
    </row>
    <row r="445" spans="7:8" ht="12.75">
      <c r="G445" s="111"/>
      <c r="H445" s="109"/>
    </row>
    <row r="446" spans="7:8" ht="12.75">
      <c r="G446" s="111"/>
      <c r="H446" s="109"/>
    </row>
    <row r="447" spans="7:8" ht="12.75">
      <c r="G447" s="111"/>
      <c r="H447" s="109"/>
    </row>
    <row r="448" spans="7:8" ht="12.75">
      <c r="G448" s="111"/>
      <c r="H448" s="109"/>
    </row>
    <row r="449" spans="7:8" ht="12.75">
      <c r="G449" s="111"/>
      <c r="H449" s="109"/>
    </row>
    <row r="450" spans="7:8" ht="12.75">
      <c r="G450" s="111"/>
      <c r="H450" s="109"/>
    </row>
    <row r="451" spans="7:8" ht="12.75">
      <c r="G451" s="111"/>
      <c r="H451" s="109"/>
    </row>
    <row r="452" spans="7:8" ht="12.75">
      <c r="G452" s="111"/>
      <c r="H452" s="109"/>
    </row>
    <row r="453" spans="7:8" ht="12.75">
      <c r="G453" s="111"/>
      <c r="H453" s="109"/>
    </row>
    <row r="454" spans="7:8" ht="12.75">
      <c r="G454" s="111"/>
      <c r="H454" s="109"/>
    </row>
    <row r="455" spans="7:8" ht="12.75">
      <c r="G455" s="111"/>
      <c r="H455" s="109"/>
    </row>
    <row r="456" spans="7:8" ht="12.75">
      <c r="G456" s="111"/>
      <c r="H456" s="109"/>
    </row>
    <row r="457" spans="7:8" ht="12.75">
      <c r="G457" s="111"/>
      <c r="H457" s="109"/>
    </row>
    <row r="458" spans="7:8" ht="12.75">
      <c r="G458" s="111"/>
      <c r="H458" s="109"/>
    </row>
    <row r="459" spans="7:8" ht="12.75">
      <c r="G459" s="111"/>
      <c r="H459" s="109"/>
    </row>
    <row r="460" spans="7:8" ht="12.75">
      <c r="G460" s="111"/>
      <c r="H460" s="109"/>
    </row>
    <row r="461" spans="7:8" ht="12.75">
      <c r="G461" s="111"/>
      <c r="H461" s="109"/>
    </row>
    <row r="462" spans="7:8" ht="12.75">
      <c r="G462" s="111"/>
      <c r="H462" s="109"/>
    </row>
    <row r="463" spans="7:8" ht="12.75">
      <c r="G463" s="111"/>
      <c r="H463" s="109"/>
    </row>
    <row r="464" spans="7:8" ht="12.75">
      <c r="G464" s="111"/>
      <c r="H464" s="109"/>
    </row>
    <row r="465" ht="12.75">
      <c r="G465" s="111"/>
    </row>
    <row r="466" ht="12.75">
      <c r="G466" s="111"/>
    </row>
    <row r="467" ht="12.75">
      <c r="G467" s="111"/>
    </row>
    <row r="468" ht="12.75">
      <c r="G468" s="111"/>
    </row>
    <row r="469" ht="12.75">
      <c r="G469" s="111"/>
    </row>
    <row r="470" ht="12.75">
      <c r="G470" s="111"/>
    </row>
    <row r="471" ht="12.75">
      <c r="G471" s="111"/>
    </row>
    <row r="472" ht="12.75">
      <c r="G472" s="111"/>
    </row>
    <row r="473" ht="12.75">
      <c r="G473" s="111"/>
    </row>
    <row r="474" ht="12.75">
      <c r="G474" s="111"/>
    </row>
    <row r="475" ht="12.75">
      <c r="G475" s="111"/>
    </row>
    <row r="476" ht="12.75">
      <c r="G476" s="111"/>
    </row>
    <row r="477" ht="12.75">
      <c r="G477" s="111"/>
    </row>
    <row r="478" ht="12.75">
      <c r="G478" s="111"/>
    </row>
    <row r="479" ht="12.75">
      <c r="G479" s="111"/>
    </row>
    <row r="480" ht="12.75">
      <c r="G480" s="111"/>
    </row>
    <row r="481" ht="12.75">
      <c r="G481" s="111"/>
    </row>
    <row r="482" ht="12.75">
      <c r="G482" s="111"/>
    </row>
    <row r="483" ht="12.75">
      <c r="G483" s="111"/>
    </row>
    <row r="484" ht="12.75">
      <c r="G484" s="111"/>
    </row>
    <row r="485" ht="12.75">
      <c r="G485" s="111"/>
    </row>
    <row r="486" ht="12.75">
      <c r="G486" s="111"/>
    </row>
    <row r="487" ht="12.75">
      <c r="G487" s="111"/>
    </row>
    <row r="488" ht="12.75">
      <c r="G488" s="111"/>
    </row>
    <row r="489" ht="12.75">
      <c r="G489" s="111"/>
    </row>
    <row r="490" ht="12.75">
      <c r="G490" s="111"/>
    </row>
    <row r="491" ht="12.75">
      <c r="G491" s="111"/>
    </row>
    <row r="492" ht="12.75">
      <c r="G492" s="111"/>
    </row>
    <row r="493" ht="12.75">
      <c r="G493" s="111"/>
    </row>
    <row r="494" ht="12.75">
      <c r="G494" s="111"/>
    </row>
    <row r="495" ht="12.75">
      <c r="G495" s="111"/>
    </row>
    <row r="496" ht="12.75">
      <c r="G496" s="111"/>
    </row>
    <row r="497" ht="12.75">
      <c r="G497" s="111"/>
    </row>
    <row r="498" ht="12.75">
      <c r="G498" s="111"/>
    </row>
    <row r="499" ht="12.75">
      <c r="G499" s="111"/>
    </row>
    <row r="500" ht="12.75">
      <c r="G500" s="111"/>
    </row>
    <row r="501" ht="12.75">
      <c r="G501" s="111"/>
    </row>
    <row r="502" ht="12.75">
      <c r="G502" s="111"/>
    </row>
    <row r="503" ht="12.75">
      <c r="G503" s="111"/>
    </row>
    <row r="504" ht="12.75">
      <c r="G504" s="111"/>
    </row>
    <row r="505" ht="12.75">
      <c r="G505" s="111"/>
    </row>
    <row r="506" ht="12.75">
      <c r="G506" s="111"/>
    </row>
    <row r="507" ht="12.75">
      <c r="G507" s="111"/>
    </row>
    <row r="508" ht="12.75">
      <c r="G508" s="111"/>
    </row>
    <row r="509" ht="12.75">
      <c r="G509" s="111"/>
    </row>
    <row r="510" ht="12.75">
      <c r="G510" s="111"/>
    </row>
    <row r="511" ht="12.75">
      <c r="G511" s="111"/>
    </row>
    <row r="512" ht="12.75">
      <c r="G512" s="111"/>
    </row>
    <row r="513" ht="12.75">
      <c r="G513" s="111"/>
    </row>
    <row r="514" ht="12.75">
      <c r="G514" s="111"/>
    </row>
    <row r="515" ht="12.75">
      <c r="G515" s="111"/>
    </row>
    <row r="516" ht="12.75">
      <c r="G516" s="111"/>
    </row>
    <row r="517" ht="12.75">
      <c r="G517" s="111"/>
    </row>
    <row r="518" ht="12.75">
      <c r="G518" s="111"/>
    </row>
    <row r="519" ht="12.75">
      <c r="G519" s="111"/>
    </row>
    <row r="520" ht="12.75">
      <c r="G520" s="111"/>
    </row>
    <row r="521" ht="12.75">
      <c r="G521" s="111"/>
    </row>
    <row r="522" ht="12.75">
      <c r="G522" s="111"/>
    </row>
    <row r="523" ht="12.75">
      <c r="G523" s="111"/>
    </row>
    <row r="524" ht="12.75">
      <c r="G524" s="111"/>
    </row>
    <row r="525" ht="12.75">
      <c r="G525" s="111"/>
    </row>
    <row r="526" ht="12.75">
      <c r="G526" s="111"/>
    </row>
    <row r="527" ht="12.75">
      <c r="G527" s="111"/>
    </row>
    <row r="528" ht="12.75">
      <c r="G528" s="111"/>
    </row>
    <row r="529" ht="12.75">
      <c r="G529" s="111"/>
    </row>
    <row r="530" ht="12.75">
      <c r="G530" s="111"/>
    </row>
    <row r="531" ht="12.75">
      <c r="G531" s="111"/>
    </row>
    <row r="532" ht="12.75">
      <c r="G532" s="111"/>
    </row>
    <row r="533" ht="12.75">
      <c r="G533" s="111"/>
    </row>
    <row r="534" ht="12.75">
      <c r="G534" s="111"/>
    </row>
    <row r="535" ht="12.75">
      <c r="G535" s="111"/>
    </row>
    <row r="536" ht="12.75">
      <c r="G536" s="111"/>
    </row>
    <row r="537" ht="12.75">
      <c r="G537" s="111"/>
    </row>
    <row r="538" ht="12.75">
      <c r="G538" s="111"/>
    </row>
    <row r="539" ht="12.75">
      <c r="G539" s="111"/>
    </row>
    <row r="540" ht="12.75">
      <c r="G540" s="111"/>
    </row>
    <row r="541" ht="12.75">
      <c r="G541" s="111"/>
    </row>
    <row r="542" ht="12.75">
      <c r="G542" s="111"/>
    </row>
    <row r="543" ht="12.75">
      <c r="G543" s="111"/>
    </row>
    <row r="544" ht="12.75">
      <c r="G544" s="111"/>
    </row>
    <row r="545" ht="12.75">
      <c r="G545" s="111"/>
    </row>
    <row r="546" ht="12.75">
      <c r="G546" s="111"/>
    </row>
    <row r="547" ht="12.75">
      <c r="G547" s="111"/>
    </row>
    <row r="548" ht="12.75">
      <c r="G548" s="111"/>
    </row>
    <row r="549" ht="12.75">
      <c r="G549" s="111"/>
    </row>
    <row r="550" ht="12.75">
      <c r="G550" s="111"/>
    </row>
    <row r="551" ht="12.75">
      <c r="G551" s="111"/>
    </row>
    <row r="552" ht="12.75">
      <c r="G552" s="111"/>
    </row>
    <row r="553" ht="12.75">
      <c r="G553" s="111"/>
    </row>
    <row r="554" ht="12.75">
      <c r="G554" s="111"/>
    </row>
    <row r="555" ht="12.75">
      <c r="G555" s="111"/>
    </row>
    <row r="556" ht="12.75">
      <c r="G556" s="111"/>
    </row>
    <row r="557" ht="12.75">
      <c r="G557" s="111"/>
    </row>
    <row r="558" ht="12.75">
      <c r="G558" s="111"/>
    </row>
    <row r="559" ht="12.75">
      <c r="G559" s="111"/>
    </row>
    <row r="560" ht="12.75">
      <c r="G560" s="111"/>
    </row>
    <row r="561" ht="12.75">
      <c r="G561" s="111"/>
    </row>
    <row r="562" ht="12.75">
      <c r="G562" s="111"/>
    </row>
    <row r="563" ht="12.75">
      <c r="G563" s="111"/>
    </row>
    <row r="564" ht="12.75">
      <c r="G564" s="111"/>
    </row>
    <row r="565" ht="12.75">
      <c r="G565" s="111"/>
    </row>
    <row r="566" ht="12.75">
      <c r="G566" s="111"/>
    </row>
    <row r="567" ht="12.75">
      <c r="G567" s="111"/>
    </row>
    <row r="568" ht="12.75">
      <c r="G568" s="111"/>
    </row>
    <row r="569" ht="12.75">
      <c r="G569" s="111"/>
    </row>
    <row r="570" ht="12.75">
      <c r="G570" s="111"/>
    </row>
    <row r="571" ht="12.75">
      <c r="G571" s="111"/>
    </row>
    <row r="572" ht="12.75">
      <c r="G572" s="111"/>
    </row>
    <row r="573" ht="12.75">
      <c r="G573" s="111"/>
    </row>
    <row r="574" ht="12.75">
      <c r="G574" s="111"/>
    </row>
    <row r="575" ht="12.75">
      <c r="G575" s="111"/>
    </row>
    <row r="576" ht="12.75">
      <c r="G576" s="111"/>
    </row>
    <row r="577" ht="12.75">
      <c r="G577" s="111"/>
    </row>
    <row r="578" ht="12.75">
      <c r="G578" s="111"/>
    </row>
    <row r="579" ht="12.75">
      <c r="G579" s="111"/>
    </row>
    <row r="580" ht="12.75">
      <c r="G580" s="111"/>
    </row>
    <row r="581" ht="12.75">
      <c r="G581" s="111"/>
    </row>
    <row r="582" ht="12.75">
      <c r="G582" s="111"/>
    </row>
    <row r="583" ht="12.75">
      <c r="G583" s="111"/>
    </row>
    <row r="584" ht="12.75">
      <c r="G584" s="111"/>
    </row>
    <row r="585" ht="12.75">
      <c r="G585" s="111"/>
    </row>
    <row r="586" ht="12.75">
      <c r="G586" s="111"/>
    </row>
    <row r="587" ht="12.75">
      <c r="G587" s="111"/>
    </row>
    <row r="588" ht="12.75">
      <c r="G588" s="111"/>
    </row>
    <row r="589" ht="12.75">
      <c r="G589" s="111"/>
    </row>
    <row r="590" ht="12.75">
      <c r="G590" s="111"/>
    </row>
    <row r="591" ht="12.75">
      <c r="G591" s="111"/>
    </row>
    <row r="592" ht="12.75">
      <c r="G592" s="111"/>
    </row>
    <row r="593" ht="12.75">
      <c r="G593" s="111"/>
    </row>
    <row r="594" ht="12.75">
      <c r="G594" s="111"/>
    </row>
    <row r="595" ht="12.75">
      <c r="G595" s="111"/>
    </row>
    <row r="596" ht="12.75">
      <c r="G596" s="111"/>
    </row>
    <row r="597" ht="12.75">
      <c r="G597" s="111"/>
    </row>
    <row r="598" ht="12.75">
      <c r="G598" s="111"/>
    </row>
    <row r="599" ht="12.75">
      <c r="G599" s="111"/>
    </row>
    <row r="600" ht="12.75">
      <c r="G600" s="111"/>
    </row>
    <row r="601" ht="12.75">
      <c r="G601" s="111"/>
    </row>
    <row r="602" ht="12.75">
      <c r="G602" s="111"/>
    </row>
    <row r="603" ht="12.75">
      <c r="G603" s="111"/>
    </row>
    <row r="604" ht="12.75">
      <c r="G604" s="111"/>
    </row>
    <row r="605" ht="12.75">
      <c r="G605" s="111"/>
    </row>
    <row r="606" ht="12.75">
      <c r="G606" s="111"/>
    </row>
    <row r="607" ht="12.75">
      <c r="G607" s="111"/>
    </row>
    <row r="608" ht="12.75">
      <c r="G608" s="111"/>
    </row>
    <row r="609" ht="12.75">
      <c r="G609" s="111"/>
    </row>
    <row r="610" ht="12.75">
      <c r="G610" s="111"/>
    </row>
    <row r="611" ht="12.75">
      <c r="G611" s="111"/>
    </row>
    <row r="612" ht="12.75">
      <c r="G612" s="111"/>
    </row>
    <row r="613" ht="12.75">
      <c r="G613" s="111"/>
    </row>
    <row r="614" ht="12.75">
      <c r="G614" s="111"/>
    </row>
    <row r="615" ht="12.75">
      <c r="G615" s="111"/>
    </row>
    <row r="616" ht="12.75">
      <c r="G616" s="111"/>
    </row>
    <row r="617" ht="12.75">
      <c r="G617" s="111"/>
    </row>
    <row r="618" ht="12.75">
      <c r="G618" s="111"/>
    </row>
    <row r="619" ht="12.75">
      <c r="G619" s="111"/>
    </row>
    <row r="620" ht="12.75">
      <c r="G620" s="111"/>
    </row>
    <row r="621" ht="12.75">
      <c r="G621" s="111"/>
    </row>
    <row r="622" ht="12.75">
      <c r="G622" s="111"/>
    </row>
    <row r="623" ht="12.75">
      <c r="G623" s="111"/>
    </row>
    <row r="624" ht="12.75">
      <c r="G624" s="111"/>
    </row>
    <row r="625" ht="12.75">
      <c r="G625" s="111"/>
    </row>
    <row r="626" ht="12.75">
      <c r="G626" s="111"/>
    </row>
    <row r="627" ht="12.75">
      <c r="G627" s="111"/>
    </row>
    <row r="628" ht="12.75">
      <c r="G628" s="111"/>
    </row>
    <row r="629" ht="12.75">
      <c r="G629" s="111"/>
    </row>
    <row r="630" ht="12.75">
      <c r="G630" s="111"/>
    </row>
    <row r="631" ht="12.75">
      <c r="G631" s="111"/>
    </row>
    <row r="632" ht="12.75">
      <c r="G632" s="111"/>
    </row>
    <row r="633" ht="12.75">
      <c r="G633" s="111"/>
    </row>
    <row r="634" ht="12.75">
      <c r="G634" s="111"/>
    </row>
    <row r="635" ht="12.75">
      <c r="G635" s="111"/>
    </row>
    <row r="636" ht="12.75">
      <c r="G636" s="111"/>
    </row>
    <row r="637" ht="12.75">
      <c r="G637" s="111"/>
    </row>
    <row r="638" ht="12.75">
      <c r="G638" s="111"/>
    </row>
    <row r="639" ht="12.75">
      <c r="G639" s="111"/>
    </row>
    <row r="640" ht="12.75">
      <c r="G640" s="111"/>
    </row>
    <row r="641" ht="12.75">
      <c r="G641" s="111"/>
    </row>
    <row r="642" ht="12.75">
      <c r="G642" s="111"/>
    </row>
    <row r="643" ht="12.75">
      <c r="G643" s="111"/>
    </row>
    <row r="644" ht="12.75">
      <c r="G644" s="111"/>
    </row>
    <row r="645" ht="12.75">
      <c r="G645" s="111"/>
    </row>
    <row r="646" ht="12.75">
      <c r="G646" s="111"/>
    </row>
    <row r="647" ht="12.75">
      <c r="G647" s="111"/>
    </row>
    <row r="648" ht="12.75">
      <c r="G648" s="111"/>
    </row>
    <row r="649" ht="12.75">
      <c r="G649" s="111"/>
    </row>
    <row r="650" ht="12.75">
      <c r="G650" s="111"/>
    </row>
    <row r="651" ht="12.75">
      <c r="G651" s="111"/>
    </row>
    <row r="652" ht="12.75">
      <c r="G652" s="111"/>
    </row>
    <row r="653" ht="12.75">
      <c r="G653" s="111"/>
    </row>
    <row r="654" ht="12.75">
      <c r="G654" s="111"/>
    </row>
    <row r="655" ht="12.75">
      <c r="G655" s="111"/>
    </row>
    <row r="656" ht="12.75">
      <c r="G656" s="111"/>
    </row>
    <row r="657" ht="12.75">
      <c r="G657" s="111"/>
    </row>
    <row r="658" ht="12.75">
      <c r="G658" s="111"/>
    </row>
    <row r="659" ht="12.75">
      <c r="G659" s="111"/>
    </row>
    <row r="660" ht="12.75">
      <c r="G660" s="111"/>
    </row>
    <row r="661" ht="12.75">
      <c r="G661" s="111"/>
    </row>
    <row r="662" ht="12.75">
      <c r="G662" s="111"/>
    </row>
    <row r="663" ht="12.75">
      <c r="G663" s="111"/>
    </row>
    <row r="664" ht="12.75">
      <c r="G664" s="111"/>
    </row>
    <row r="665" ht="12.75">
      <c r="G665" s="111"/>
    </row>
    <row r="666" ht="12.75">
      <c r="G666" s="111"/>
    </row>
    <row r="667" ht="12.75">
      <c r="G667" s="111"/>
    </row>
    <row r="668" ht="12.75">
      <c r="G668" s="111"/>
    </row>
    <row r="669" ht="12.75">
      <c r="G669" s="111"/>
    </row>
    <row r="670" ht="12.75">
      <c r="G670" s="111"/>
    </row>
    <row r="671" ht="12.75">
      <c r="G671" s="111"/>
    </row>
    <row r="672" ht="12.75">
      <c r="G672" s="111"/>
    </row>
    <row r="673" ht="12.75">
      <c r="G673" s="111"/>
    </row>
    <row r="674" ht="12.75">
      <c r="G674" s="111"/>
    </row>
    <row r="675" ht="12.75">
      <c r="G675" s="111"/>
    </row>
    <row r="676" ht="12.75">
      <c r="G676" s="111"/>
    </row>
    <row r="677" ht="12.75">
      <c r="G677" s="111"/>
    </row>
    <row r="678" ht="12.75">
      <c r="G678" s="111"/>
    </row>
    <row r="679" ht="12.75">
      <c r="G679" s="111"/>
    </row>
    <row r="680" ht="12.75">
      <c r="G680" s="111"/>
    </row>
    <row r="681" ht="12.75">
      <c r="G681" s="111"/>
    </row>
    <row r="682" ht="12.75">
      <c r="G682" s="111"/>
    </row>
    <row r="683" ht="12.75">
      <c r="G683" s="111"/>
    </row>
    <row r="684" ht="12.75">
      <c r="G684" s="111"/>
    </row>
    <row r="685" ht="12.75">
      <c r="G685" s="111"/>
    </row>
    <row r="686" ht="12.75">
      <c r="G686" s="111"/>
    </row>
    <row r="687" ht="12.75">
      <c r="G687" s="111"/>
    </row>
    <row r="688" ht="12.75">
      <c r="G688" s="111"/>
    </row>
    <row r="689" ht="12.75">
      <c r="G689" s="111"/>
    </row>
    <row r="690" ht="12.75">
      <c r="G690" s="111"/>
    </row>
    <row r="691" ht="12.75">
      <c r="G691" s="111"/>
    </row>
    <row r="692" ht="12.75">
      <c r="G692" s="111"/>
    </row>
    <row r="693" ht="12.75">
      <c r="G693" s="111"/>
    </row>
    <row r="694" ht="12.75">
      <c r="G694" s="111"/>
    </row>
    <row r="695" ht="12.75">
      <c r="G695" s="111"/>
    </row>
    <row r="696" ht="12.75">
      <c r="G696" s="111"/>
    </row>
    <row r="697" ht="12.75">
      <c r="G697" s="111"/>
    </row>
    <row r="698" ht="12.75">
      <c r="G698" s="111"/>
    </row>
    <row r="699" ht="12.75">
      <c r="G699" s="111"/>
    </row>
    <row r="700" ht="12.75">
      <c r="G700" s="111"/>
    </row>
    <row r="701" ht="12.75">
      <c r="G701" s="111"/>
    </row>
    <row r="702" ht="12.75">
      <c r="G702" s="111"/>
    </row>
    <row r="703" ht="12.75">
      <c r="G703" s="111"/>
    </row>
    <row r="704" ht="12.75">
      <c r="G704" s="111"/>
    </row>
    <row r="705" ht="12.75">
      <c r="G705" s="111"/>
    </row>
    <row r="706" ht="12.75">
      <c r="G706" s="111"/>
    </row>
    <row r="707" ht="12.75">
      <c r="G707" s="111"/>
    </row>
    <row r="708" ht="12.75">
      <c r="G708" s="111"/>
    </row>
    <row r="709" ht="12.75">
      <c r="G709" s="111"/>
    </row>
    <row r="710" ht="12.75">
      <c r="G710" s="111"/>
    </row>
    <row r="711" ht="12.75">
      <c r="G711" s="111"/>
    </row>
    <row r="712" ht="12.75">
      <c r="G712" s="111"/>
    </row>
    <row r="713" ht="12.75">
      <c r="G713" s="111"/>
    </row>
    <row r="714" ht="12.75">
      <c r="G714" s="111"/>
    </row>
    <row r="715" ht="12.75">
      <c r="G715" s="111"/>
    </row>
    <row r="716" ht="12.75">
      <c r="G716" s="111"/>
    </row>
    <row r="717" ht="12.75">
      <c r="G717" s="111"/>
    </row>
    <row r="718" ht="12.75">
      <c r="G718" s="111"/>
    </row>
    <row r="719" ht="12.75">
      <c r="G719" s="111"/>
    </row>
    <row r="720" ht="12.75">
      <c r="G720" s="111"/>
    </row>
    <row r="721" ht="12.75">
      <c r="G721" s="111"/>
    </row>
    <row r="722" ht="12.75">
      <c r="G722" s="111"/>
    </row>
    <row r="723" ht="12.75">
      <c r="G723" s="111"/>
    </row>
    <row r="724" ht="12.75">
      <c r="G724" s="111"/>
    </row>
    <row r="725" ht="12.75">
      <c r="G725" s="111"/>
    </row>
    <row r="726" ht="12.75">
      <c r="G726" s="111"/>
    </row>
    <row r="727" ht="12.75">
      <c r="G727" s="111"/>
    </row>
    <row r="728" ht="12.75">
      <c r="G728" s="111"/>
    </row>
    <row r="729" ht="12.75">
      <c r="G729" s="111"/>
    </row>
    <row r="730" ht="12.75">
      <c r="G730" s="111"/>
    </row>
    <row r="731" ht="12.75">
      <c r="G731" s="111"/>
    </row>
    <row r="732" ht="12.75">
      <c r="G732" s="111"/>
    </row>
    <row r="733" ht="12.75">
      <c r="G733" s="111"/>
    </row>
    <row r="734" ht="12.75">
      <c r="G734" s="111"/>
    </row>
    <row r="735" ht="12.75">
      <c r="G735" s="111"/>
    </row>
    <row r="736" ht="12.75">
      <c r="G736" s="111"/>
    </row>
    <row r="737" ht="12.75">
      <c r="G737" s="111"/>
    </row>
    <row r="738" ht="12.75">
      <c r="G738" s="111"/>
    </row>
    <row r="739" ht="12.75">
      <c r="G739" s="111"/>
    </row>
    <row r="740" ht="12.75">
      <c r="G740" s="111"/>
    </row>
    <row r="741" ht="12.75">
      <c r="G741" s="111"/>
    </row>
    <row r="742" ht="12.75">
      <c r="G742" s="111"/>
    </row>
    <row r="743" ht="12.75">
      <c r="G743" s="111"/>
    </row>
    <row r="744" ht="12.75">
      <c r="G744" s="111"/>
    </row>
    <row r="745" ht="12.75">
      <c r="G745" s="111"/>
    </row>
    <row r="746" ht="12.75">
      <c r="G746" s="111"/>
    </row>
    <row r="747" ht="12.75">
      <c r="G747" s="111"/>
    </row>
    <row r="748" ht="12.75">
      <c r="G748" s="111"/>
    </row>
    <row r="749" ht="12.75">
      <c r="G749" s="111"/>
    </row>
    <row r="750" ht="12.75">
      <c r="G750" s="111"/>
    </row>
    <row r="751" ht="12.75">
      <c r="G751" s="111"/>
    </row>
    <row r="752" ht="12.75">
      <c r="G752" s="111"/>
    </row>
    <row r="753" ht="12.75">
      <c r="G753" s="111"/>
    </row>
    <row r="754" ht="12.75">
      <c r="G754" s="111"/>
    </row>
    <row r="755" ht="12.75">
      <c r="G755" s="111"/>
    </row>
    <row r="756" ht="12.75">
      <c r="G756" s="111"/>
    </row>
    <row r="757" ht="12.75">
      <c r="G757" s="111"/>
    </row>
    <row r="758" ht="12.75">
      <c r="G758" s="111"/>
    </row>
    <row r="759" ht="12.75">
      <c r="G759" s="111"/>
    </row>
    <row r="760" ht="12.75">
      <c r="G760" s="111"/>
    </row>
    <row r="761" ht="12.75">
      <c r="G761" s="111"/>
    </row>
    <row r="762" ht="12.75">
      <c r="G762" s="111"/>
    </row>
    <row r="763" ht="12.75">
      <c r="G763" s="111"/>
    </row>
    <row r="764" ht="12.75">
      <c r="G764" s="111"/>
    </row>
    <row r="765" ht="12.75">
      <c r="G765" s="111"/>
    </row>
    <row r="766" ht="12.75">
      <c r="G766" s="111"/>
    </row>
    <row r="767" ht="12.75">
      <c r="G767" s="111"/>
    </row>
    <row r="768" ht="12.75">
      <c r="G768" s="111"/>
    </row>
    <row r="769" ht="12.75">
      <c r="G769" s="111"/>
    </row>
    <row r="770" ht="12.75">
      <c r="G770" s="111"/>
    </row>
    <row r="771" ht="12.75">
      <c r="G771" s="111"/>
    </row>
    <row r="772" ht="12.75">
      <c r="G772" s="111"/>
    </row>
    <row r="773" ht="12.75">
      <c r="G773" s="111"/>
    </row>
    <row r="774" ht="12.75">
      <c r="G774" s="111"/>
    </row>
    <row r="775" ht="12.75">
      <c r="G775" s="111"/>
    </row>
    <row r="776" ht="12.75">
      <c r="G776" s="111"/>
    </row>
    <row r="777" ht="12.75">
      <c r="G777" s="111"/>
    </row>
    <row r="778" ht="12.75">
      <c r="G778" s="111"/>
    </row>
    <row r="779" ht="12.75">
      <c r="G779" s="111"/>
    </row>
    <row r="780" ht="12.75">
      <c r="G780" s="111"/>
    </row>
    <row r="781" ht="12.75">
      <c r="G781" s="111"/>
    </row>
    <row r="782" ht="12.75">
      <c r="G782" s="111"/>
    </row>
    <row r="783" ht="12.75">
      <c r="G783" s="111"/>
    </row>
    <row r="784" ht="12.75">
      <c r="G784" s="111"/>
    </row>
    <row r="785" ht="12.75">
      <c r="G785" s="111"/>
    </row>
    <row r="786" ht="12.75">
      <c r="G786" s="111"/>
    </row>
    <row r="787" ht="12.75">
      <c r="G787" s="111"/>
    </row>
    <row r="788" ht="12.75">
      <c r="G788" s="111"/>
    </row>
    <row r="789" ht="12.75">
      <c r="G789" s="111"/>
    </row>
    <row r="790" ht="12.75">
      <c r="G790" s="111"/>
    </row>
    <row r="791" ht="12.75">
      <c r="G791" s="111"/>
    </row>
    <row r="792" ht="12.75">
      <c r="G792" s="111"/>
    </row>
    <row r="793" ht="12.75">
      <c r="G793" s="111"/>
    </row>
    <row r="794" ht="12.75">
      <c r="G794" s="111"/>
    </row>
    <row r="795" ht="12.75">
      <c r="G795" s="111"/>
    </row>
    <row r="796" ht="12.75">
      <c r="G796" s="111"/>
    </row>
    <row r="797" ht="12.75">
      <c r="G797" s="111"/>
    </row>
    <row r="798" ht="12.75">
      <c r="G798" s="111"/>
    </row>
    <row r="799" ht="12.75">
      <c r="G799" s="111"/>
    </row>
    <row r="800" ht="12.75">
      <c r="G800" s="111"/>
    </row>
    <row r="801" ht="12.75">
      <c r="G801" s="111"/>
    </row>
    <row r="802" ht="12.75">
      <c r="G802" s="111"/>
    </row>
    <row r="803" ht="12.75">
      <c r="G803" s="111"/>
    </row>
    <row r="804" ht="12.75">
      <c r="G804" s="111"/>
    </row>
    <row r="805" ht="12.75">
      <c r="G805" s="111"/>
    </row>
    <row r="806" ht="12.75">
      <c r="G806" s="111"/>
    </row>
    <row r="807" ht="12.75">
      <c r="G807" s="111"/>
    </row>
    <row r="808" ht="12.75">
      <c r="G808" s="111"/>
    </row>
    <row r="809" ht="12.75">
      <c r="G809" s="111"/>
    </row>
    <row r="810" ht="12.75">
      <c r="G810" s="111"/>
    </row>
    <row r="811" ht="12.75">
      <c r="G811" s="111"/>
    </row>
    <row r="812" ht="12.75">
      <c r="G812" s="111"/>
    </row>
    <row r="813" ht="12.75">
      <c r="G813" s="111"/>
    </row>
    <row r="814" ht="12.75">
      <c r="G814" s="111"/>
    </row>
    <row r="815" ht="12.75">
      <c r="G815" s="111"/>
    </row>
    <row r="816" ht="12.75">
      <c r="G816" s="111"/>
    </row>
    <row r="817" ht="12.75">
      <c r="G817" s="111"/>
    </row>
    <row r="818" ht="12.75">
      <c r="G818" s="111"/>
    </row>
    <row r="819" ht="12.75">
      <c r="G819" s="111"/>
    </row>
    <row r="820" ht="12.75">
      <c r="G820" s="111"/>
    </row>
    <row r="821" ht="12.75">
      <c r="G821" s="111"/>
    </row>
    <row r="822" ht="12.75">
      <c r="G822" s="111"/>
    </row>
    <row r="823" ht="12.75">
      <c r="G823" s="111"/>
    </row>
    <row r="824" ht="12.75">
      <c r="G824" s="111"/>
    </row>
    <row r="825" ht="12.75">
      <c r="G825" s="111"/>
    </row>
    <row r="826" ht="12.75">
      <c r="G826" s="111"/>
    </row>
    <row r="827" ht="12.75">
      <c r="G827" s="111"/>
    </row>
    <row r="828" ht="12.75">
      <c r="G828" s="111"/>
    </row>
    <row r="829" ht="12.75">
      <c r="G829" s="111"/>
    </row>
    <row r="830" ht="12.75">
      <c r="G830" s="111"/>
    </row>
    <row r="831" ht="12.75">
      <c r="G831" s="111"/>
    </row>
    <row r="832" ht="12.75">
      <c r="G832" s="111"/>
    </row>
    <row r="833" ht="12.75">
      <c r="G833" s="111"/>
    </row>
    <row r="834" ht="12.75">
      <c r="G834" s="111"/>
    </row>
    <row r="835" ht="12.75">
      <c r="G835" s="111"/>
    </row>
    <row r="836" ht="12.75">
      <c r="G836" s="111"/>
    </row>
    <row r="837" ht="12.75">
      <c r="G837" s="111"/>
    </row>
    <row r="838" ht="12.75">
      <c r="G838" s="111"/>
    </row>
    <row r="839" ht="12.75">
      <c r="G839" s="111"/>
    </row>
    <row r="840" ht="12.75">
      <c r="G840" s="111"/>
    </row>
  </sheetData>
  <mergeCells count="1">
    <mergeCell ref="R1:W1"/>
  </mergeCells>
  <printOptions/>
  <pageMargins left="0.75" right="0.75" top="1" bottom="1" header="0.5" footer="0.5"/>
  <pageSetup fitToHeight="3" fitToWidth="2" horizontalDpi="300" verticalDpi="300" orientation="landscape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E823"/>
  <sheetViews>
    <sheetView zoomScale="75" zoomScaleNormal="75" workbookViewId="0" topLeftCell="A1">
      <pane xSplit="9" ySplit="5" topLeftCell="J24" activePane="bottomRight" state="frozen"/>
      <selection pane="topLeft" activeCell="A1" sqref="A1"/>
      <selection pane="topRight" activeCell="K1" sqref="K1"/>
      <selection pane="bottomLeft" activeCell="A6" sqref="A6"/>
      <selection pane="bottomRight" activeCell="J43" sqref="J43"/>
    </sheetView>
  </sheetViews>
  <sheetFormatPr defaultColWidth="9.140625" defaultRowHeight="12.75"/>
  <cols>
    <col min="1" max="1" width="3.28125" style="95" customWidth="1"/>
    <col min="2" max="2" width="3.28125" style="93" bestFit="1" customWidth="1"/>
    <col min="3" max="3" width="7.8515625" style="93" bestFit="1" customWidth="1"/>
    <col min="4" max="4" width="17.8515625" style="93" bestFit="1" customWidth="1"/>
    <col min="5" max="5" width="19.421875" style="93" customWidth="1"/>
    <col min="6" max="6" width="5.28125" style="95" customWidth="1"/>
    <col min="7" max="7" width="14.8515625" style="93" bestFit="1" customWidth="1"/>
    <col min="8" max="8" width="1.421875" style="19" customWidth="1"/>
    <col min="9" max="9" width="16.00390625" style="145" bestFit="1" customWidth="1"/>
    <col min="10" max="10" width="12.7109375" style="145" bestFit="1" customWidth="1"/>
    <col min="11" max="12" width="11.57421875" style="145" bestFit="1" customWidth="1"/>
    <col min="13" max="13" width="12.7109375" style="145" bestFit="1" customWidth="1"/>
    <col min="14" max="14" width="13.8515625" style="145" bestFit="1" customWidth="1"/>
    <col min="15" max="15" width="15.7109375" style="145" bestFit="1" customWidth="1"/>
    <col min="16" max="16" width="11.57421875" style="145" bestFit="1" customWidth="1"/>
    <col min="17" max="17" width="13.8515625" style="145" bestFit="1" customWidth="1"/>
    <col min="18" max="18" width="12.7109375" style="145" bestFit="1" customWidth="1"/>
    <col min="19" max="19" width="11.28125" style="145" bestFit="1" customWidth="1"/>
    <col min="20" max="20" width="7.8515625" style="145" customWidth="1"/>
    <col min="21" max="21" width="11.57421875" style="145" bestFit="1" customWidth="1"/>
    <col min="22" max="22" width="11.7109375" style="145" bestFit="1" customWidth="1"/>
    <col min="23" max="23" width="13.140625" style="145" bestFit="1" customWidth="1"/>
    <col min="24" max="24" width="13.8515625" style="145" customWidth="1"/>
    <col min="25" max="27" width="12.8515625" style="145" customWidth="1"/>
    <col min="28" max="29" width="13.8515625" style="145" bestFit="1" customWidth="1"/>
    <col min="30" max="30" width="1.57421875" style="209" customWidth="1"/>
    <col min="31" max="109" width="8.8515625" style="145" customWidth="1"/>
    <col min="110" max="16384" width="8.8515625" style="37" customWidth="1"/>
  </cols>
  <sheetData>
    <row r="1" ht="12.75"/>
    <row r="2" spans="1:109" s="151" customFormat="1" ht="38.25">
      <c r="A2" s="108" t="s">
        <v>91</v>
      </c>
      <c r="B2" s="108" t="s">
        <v>110</v>
      </c>
      <c r="C2" s="108" t="s">
        <v>111</v>
      </c>
      <c r="D2" s="108" t="s">
        <v>112</v>
      </c>
      <c r="E2" s="108" t="s">
        <v>113</v>
      </c>
      <c r="F2" s="108" t="s">
        <v>204</v>
      </c>
      <c r="G2" s="108" t="s">
        <v>114</v>
      </c>
      <c r="H2" s="108"/>
      <c r="I2" s="210" t="s">
        <v>373</v>
      </c>
      <c r="J2" s="152">
        <v>37257</v>
      </c>
      <c r="K2" s="152">
        <v>37288</v>
      </c>
      <c r="L2" s="152">
        <v>37316</v>
      </c>
      <c r="M2" s="152">
        <v>37347</v>
      </c>
      <c r="N2" s="152">
        <v>37377</v>
      </c>
      <c r="O2" s="152">
        <v>37408</v>
      </c>
      <c r="P2" s="152">
        <v>37438</v>
      </c>
      <c r="Q2" s="152">
        <v>37469</v>
      </c>
      <c r="R2" s="152">
        <v>37500</v>
      </c>
      <c r="S2" s="152"/>
      <c r="T2" s="152"/>
      <c r="U2" s="152"/>
      <c r="V2" s="152"/>
      <c r="W2" s="345">
        <v>37530</v>
      </c>
      <c r="X2" s="336">
        <v>37561</v>
      </c>
      <c r="Y2" s="336"/>
      <c r="Z2" s="336"/>
      <c r="AA2" s="336"/>
      <c r="AB2" s="336"/>
      <c r="AC2" s="152">
        <v>37591</v>
      </c>
      <c r="AD2" s="20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</row>
    <row r="3" spans="3:30" ht="3.75" customHeight="1">
      <c r="C3" s="284"/>
      <c r="D3" s="284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96"/>
      <c r="X3" s="337"/>
      <c r="Y3" s="337"/>
      <c r="Z3" s="337"/>
      <c r="AA3" s="337"/>
      <c r="AB3" s="337"/>
      <c r="AC3" s="153"/>
      <c r="AD3" s="206"/>
    </row>
    <row r="4" spans="3:30" ht="12.75">
      <c r="C4" s="284"/>
      <c r="D4" s="284"/>
      <c r="I4" s="211">
        <f>SUM(J4:AC4)</f>
        <v>0</v>
      </c>
      <c r="J4" s="161">
        <f aca="true" t="shared" si="0" ref="J4:Q4">SUM(J5:J70)</f>
        <v>0</v>
      </c>
      <c r="K4" s="161">
        <f t="shared" si="0"/>
        <v>0</v>
      </c>
      <c r="L4" s="161">
        <f t="shared" si="0"/>
        <v>0</v>
      </c>
      <c r="M4" s="161">
        <f t="shared" si="0"/>
        <v>0</v>
      </c>
      <c r="N4" s="161">
        <f t="shared" si="0"/>
        <v>0</v>
      </c>
      <c r="O4" s="161">
        <f t="shared" si="0"/>
        <v>0</v>
      </c>
      <c r="P4" s="161">
        <f t="shared" si="0"/>
        <v>0</v>
      </c>
      <c r="Q4" s="161">
        <f t="shared" si="0"/>
        <v>0</v>
      </c>
      <c r="R4" s="161">
        <f>SUM(S4:V4)</f>
        <v>0</v>
      </c>
      <c r="S4" s="153">
        <f>SUM(S5:S70)</f>
        <v>0</v>
      </c>
      <c r="T4" s="153">
        <f>SUM(T5:T70)</f>
        <v>0</v>
      </c>
      <c r="U4" s="153">
        <f>SUM(U5:U70)</f>
        <v>0</v>
      </c>
      <c r="V4" s="153">
        <f>SUM(V5:V70)</f>
        <v>0</v>
      </c>
      <c r="W4" s="196">
        <f>SUM(W5:W70)</f>
        <v>0</v>
      </c>
      <c r="X4" s="337">
        <f>SUM(Y4:AB4)</f>
        <v>0</v>
      </c>
      <c r="Y4" s="337">
        <f>SUM(Y5:Y70)</f>
        <v>0</v>
      </c>
      <c r="Z4" s="337">
        <f>SUM(Z5:Z70)</f>
        <v>0</v>
      </c>
      <c r="AA4" s="337">
        <f>SUM(AA5:AA70)</f>
        <v>0</v>
      </c>
      <c r="AB4" s="337">
        <f>SUM(AB5:AB70)</f>
        <v>0</v>
      </c>
      <c r="AC4" s="161">
        <f>SUM(AC5:AC70)</f>
        <v>0</v>
      </c>
      <c r="AD4" s="207"/>
    </row>
    <row r="5" spans="1:109" s="262" customFormat="1" ht="12.75">
      <c r="A5" s="285"/>
      <c r="B5" s="95"/>
      <c r="C5" s="286"/>
      <c r="D5" s="95"/>
      <c r="E5" s="287"/>
      <c r="F5" s="288"/>
      <c r="G5" s="95"/>
      <c r="H5" s="65"/>
      <c r="I5" s="258"/>
      <c r="J5" s="259"/>
      <c r="K5" s="259"/>
      <c r="L5" s="259"/>
      <c r="M5" s="259"/>
      <c r="N5" s="259"/>
      <c r="O5" s="259"/>
      <c r="P5" s="259"/>
      <c r="Q5" s="259"/>
      <c r="R5" s="259"/>
      <c r="S5" s="260" t="s">
        <v>97</v>
      </c>
      <c r="T5" s="260" t="s">
        <v>100</v>
      </c>
      <c r="U5" s="260" t="s">
        <v>98</v>
      </c>
      <c r="V5" s="260" t="s">
        <v>99</v>
      </c>
      <c r="W5" s="196"/>
      <c r="X5" s="260"/>
      <c r="Y5" s="260" t="s">
        <v>97</v>
      </c>
      <c r="Z5" s="260" t="s">
        <v>100</v>
      </c>
      <c r="AA5" s="260" t="s">
        <v>98</v>
      </c>
      <c r="AB5" s="260" t="s">
        <v>99</v>
      </c>
      <c r="AC5" s="260"/>
      <c r="AD5" s="260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</row>
    <row r="6" spans="1:30" ht="12.75">
      <c r="A6" s="289" t="s">
        <v>20</v>
      </c>
      <c r="C6" s="284"/>
      <c r="E6" s="290"/>
      <c r="F6" s="28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96"/>
      <c r="X6" s="337"/>
      <c r="Y6" s="337"/>
      <c r="Z6" s="337"/>
      <c r="AA6" s="337"/>
      <c r="AB6" s="337"/>
      <c r="AC6" s="153"/>
      <c r="AD6" s="206"/>
    </row>
    <row r="7" spans="1:30" ht="12.75">
      <c r="A7" s="291">
        <v>0</v>
      </c>
      <c r="C7" s="284"/>
      <c r="E7" s="290"/>
      <c r="F7" s="288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96"/>
      <c r="X7" s="337"/>
      <c r="Y7" s="337"/>
      <c r="Z7" s="337"/>
      <c r="AA7" s="337"/>
      <c r="AB7" s="337"/>
      <c r="AC7" s="153"/>
      <c r="AD7" s="206"/>
    </row>
    <row r="8" spans="1:30" ht="12.75">
      <c r="A8" s="291">
        <f>A7+1</f>
        <v>1</v>
      </c>
      <c r="C8" s="293"/>
      <c r="D8" s="294" t="s">
        <v>307</v>
      </c>
      <c r="E8" s="303" t="s">
        <v>89</v>
      </c>
      <c r="F8" s="302" t="s">
        <v>8</v>
      </c>
      <c r="G8" s="213">
        <v>107183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96"/>
      <c r="X8" s="337"/>
      <c r="Y8" s="337"/>
      <c r="Z8" s="337"/>
      <c r="AA8" s="337"/>
      <c r="AB8" s="337"/>
      <c r="AC8" s="347"/>
      <c r="AD8" s="206"/>
    </row>
    <row r="9" spans="1:30" ht="12.75">
      <c r="A9" s="291">
        <f>A8+1</f>
        <v>2</v>
      </c>
      <c r="C9" s="293"/>
      <c r="D9" s="294" t="s">
        <v>353</v>
      </c>
      <c r="E9" s="294" t="s">
        <v>88</v>
      </c>
      <c r="F9" s="295" t="s">
        <v>189</v>
      </c>
      <c r="G9" s="213">
        <f>2500000/32</f>
        <v>78125</v>
      </c>
      <c r="H9" s="142"/>
      <c r="I9" s="161"/>
      <c r="J9" s="153"/>
      <c r="K9" s="153"/>
      <c r="L9" s="153"/>
      <c r="M9" s="153"/>
      <c r="N9" s="153"/>
      <c r="O9" s="153"/>
      <c r="P9" s="153"/>
      <c r="Q9" s="153"/>
      <c r="W9" s="196"/>
      <c r="X9" s="337"/>
      <c r="Y9" s="337"/>
      <c r="Z9" s="337"/>
      <c r="AA9" s="337"/>
      <c r="AB9" s="337"/>
      <c r="AC9" s="347"/>
      <c r="AD9" s="206"/>
    </row>
    <row r="10" spans="1:30" ht="12.75">
      <c r="A10" s="291">
        <f>A9+1</f>
        <v>3</v>
      </c>
      <c r="C10" s="293"/>
      <c r="D10" s="19" t="s">
        <v>339</v>
      </c>
      <c r="E10" s="137" t="s">
        <v>328</v>
      </c>
      <c r="F10" s="33" t="s">
        <v>195</v>
      </c>
      <c r="G10" s="213">
        <v>165200</v>
      </c>
      <c r="H10" s="142"/>
      <c r="I10" s="161"/>
      <c r="J10" s="153"/>
      <c r="K10" s="153"/>
      <c r="L10" s="153"/>
      <c r="M10" s="153"/>
      <c r="N10" s="153"/>
      <c r="O10" s="153"/>
      <c r="P10" s="153"/>
      <c r="Q10" s="153"/>
      <c r="W10" s="196"/>
      <c r="X10" s="337"/>
      <c r="Y10" s="337"/>
      <c r="Z10" s="337"/>
      <c r="AA10" s="337"/>
      <c r="AB10" s="337"/>
      <c r="AC10" s="347"/>
      <c r="AD10" s="206"/>
    </row>
    <row r="11" spans="1:30" ht="12.75">
      <c r="A11" s="291">
        <f>A10+1</f>
        <v>4</v>
      </c>
      <c r="C11" s="293"/>
      <c r="D11" s="344" t="s">
        <v>68</v>
      </c>
      <c r="E11" s="17" t="s">
        <v>258</v>
      </c>
      <c r="F11" s="33" t="s">
        <v>405</v>
      </c>
      <c r="G11" s="157">
        <f>61014/6*5</f>
        <v>50845</v>
      </c>
      <c r="H11" s="142"/>
      <c r="I11" s="161"/>
      <c r="J11" s="153"/>
      <c r="K11" s="153"/>
      <c r="L11" s="153"/>
      <c r="M11" s="153"/>
      <c r="N11" s="153"/>
      <c r="O11" s="153"/>
      <c r="P11" s="153"/>
      <c r="Q11" s="153"/>
      <c r="W11" s="196"/>
      <c r="X11" s="337"/>
      <c r="Y11" s="337"/>
      <c r="Z11" s="337"/>
      <c r="AA11" s="337"/>
      <c r="AB11" s="337"/>
      <c r="AC11" s="347"/>
      <c r="AD11" s="206"/>
    </row>
    <row r="12" spans="3:30" ht="12.75">
      <c r="C12" s="284"/>
      <c r="D12" s="297"/>
      <c r="E12" s="290"/>
      <c r="F12" s="288"/>
      <c r="G12" s="298">
        <f>SUM(G8:G11)</f>
        <v>401353</v>
      </c>
      <c r="H12" s="14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96"/>
      <c r="X12" s="337"/>
      <c r="Y12" s="337"/>
      <c r="Z12" s="337"/>
      <c r="AA12" s="337"/>
      <c r="AB12" s="337"/>
      <c r="AC12" s="153"/>
      <c r="AD12" s="206"/>
    </row>
    <row r="13" spans="1:30" ht="12.75">
      <c r="A13" s="289" t="s">
        <v>14</v>
      </c>
      <c r="C13" s="284"/>
      <c r="E13" s="290"/>
      <c r="F13" s="288"/>
      <c r="G13" s="299"/>
      <c r="H13" s="142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96"/>
      <c r="X13" s="337"/>
      <c r="Y13" s="337"/>
      <c r="Z13" s="337"/>
      <c r="AA13" s="337"/>
      <c r="AB13" s="337"/>
      <c r="AC13" s="153"/>
      <c r="AD13" s="206"/>
    </row>
    <row r="14" spans="1:30" ht="12.75">
      <c r="A14" s="291">
        <v>0</v>
      </c>
      <c r="C14" s="284"/>
      <c r="E14" s="290"/>
      <c r="F14" s="288"/>
      <c r="G14" s="299"/>
      <c r="H14" s="14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96"/>
      <c r="X14" s="337"/>
      <c r="Y14" s="337"/>
      <c r="Z14" s="337"/>
      <c r="AA14" s="337"/>
      <c r="AB14" s="337"/>
      <c r="AC14" s="153"/>
      <c r="AD14" s="206"/>
    </row>
    <row r="15" spans="1:30" ht="12.75">
      <c r="A15" s="292">
        <f aca="true" t="shared" si="1" ref="A15:A25">A14+1</f>
        <v>1</v>
      </c>
      <c r="C15" s="293">
        <v>37529</v>
      </c>
      <c r="D15" s="294" t="s">
        <v>356</v>
      </c>
      <c r="E15" s="294" t="s">
        <v>294</v>
      </c>
      <c r="F15" s="295" t="s">
        <v>189</v>
      </c>
      <c r="G15" s="121">
        <f>280000/6*5</f>
        <v>233333.3333333333</v>
      </c>
      <c r="H15" s="142"/>
      <c r="I15" s="161">
        <f>SUM(J15:AC15)</f>
        <v>0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96"/>
      <c r="X15" s="337"/>
      <c r="Y15" s="337"/>
      <c r="Z15" s="337"/>
      <c r="AA15" s="337"/>
      <c r="AB15" s="337"/>
      <c r="AC15" s="153"/>
      <c r="AD15" s="206"/>
    </row>
    <row r="16" spans="1:30" ht="24">
      <c r="A16" s="292">
        <f t="shared" si="1"/>
        <v>2</v>
      </c>
      <c r="C16" s="293">
        <v>37529</v>
      </c>
      <c r="D16" s="300" t="s">
        <v>341</v>
      </c>
      <c r="E16" s="301" t="s">
        <v>48</v>
      </c>
      <c r="F16" s="302" t="s">
        <v>197</v>
      </c>
      <c r="G16" s="121">
        <v>81340</v>
      </c>
      <c r="H16" s="142"/>
      <c r="I16" s="161"/>
      <c r="J16" s="153"/>
      <c r="K16" s="153"/>
      <c r="L16" s="153"/>
      <c r="M16" s="153"/>
      <c r="N16" s="153"/>
      <c r="O16" s="153"/>
      <c r="P16" s="153"/>
      <c r="Q16" s="153"/>
      <c r="T16" s="153"/>
      <c r="U16" s="153"/>
      <c r="V16" s="153"/>
      <c r="W16" s="346"/>
      <c r="X16" s="337"/>
      <c r="Y16" s="337"/>
      <c r="Z16" s="337"/>
      <c r="AA16" s="337"/>
      <c r="AB16" s="337"/>
      <c r="AC16" s="196"/>
      <c r="AD16" s="206"/>
    </row>
    <row r="17" spans="1:30" ht="12.75">
      <c r="A17" s="292">
        <f t="shared" si="1"/>
        <v>3</v>
      </c>
      <c r="C17" s="293">
        <v>37529</v>
      </c>
      <c r="D17" s="303" t="s">
        <v>353</v>
      </c>
      <c r="E17" s="301" t="s">
        <v>208</v>
      </c>
      <c r="F17" s="302" t="s">
        <v>21</v>
      </c>
      <c r="G17" s="121">
        <v>28335</v>
      </c>
      <c r="H17" s="142"/>
      <c r="I17" s="161">
        <f>SUM(J17:AB17)</f>
        <v>0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348"/>
      <c r="X17" s="337"/>
      <c r="Y17" s="337"/>
      <c r="Z17" s="337"/>
      <c r="AA17" s="337"/>
      <c r="AB17" s="337"/>
      <c r="AD17" s="206"/>
    </row>
    <row r="18" spans="1:30" ht="12.75">
      <c r="A18" s="95">
        <f>A17+1</f>
        <v>4</v>
      </c>
      <c r="C18" s="293">
        <v>37529</v>
      </c>
      <c r="D18" s="294" t="s">
        <v>353</v>
      </c>
      <c r="E18" s="301" t="s">
        <v>213</v>
      </c>
      <c r="F18" s="295" t="s">
        <v>21</v>
      </c>
      <c r="G18" s="121">
        <f>(1242750)/31.5</f>
        <v>39452.380952380954</v>
      </c>
      <c r="H18" s="142"/>
      <c r="I18" s="161">
        <f>SUM(J18:AB18)</f>
        <v>0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349"/>
      <c r="X18" s="337"/>
      <c r="Y18" s="337"/>
      <c r="Z18" s="337"/>
      <c r="AA18" s="337"/>
      <c r="AB18" s="337"/>
      <c r="AD18" s="206"/>
    </row>
    <row r="19" spans="1:30" ht="24">
      <c r="A19" s="95">
        <f>A18+1</f>
        <v>5</v>
      </c>
      <c r="C19" s="293">
        <v>37529</v>
      </c>
      <c r="D19" s="304" t="s">
        <v>344</v>
      </c>
      <c r="E19" s="305" t="s">
        <v>255</v>
      </c>
      <c r="F19" s="302" t="s">
        <v>197</v>
      </c>
      <c r="G19" s="121">
        <f>(1925000)/31.5</f>
        <v>61111.11111111111</v>
      </c>
      <c r="H19" s="142"/>
      <c r="I19" s="161">
        <f aca="true" t="shared" si="2" ref="I19:I25">SUM(J19:AC19)</f>
        <v>0</v>
      </c>
      <c r="J19" s="153"/>
      <c r="K19" s="153"/>
      <c r="L19" s="153"/>
      <c r="M19" s="153"/>
      <c r="N19" s="153"/>
      <c r="O19" s="153"/>
      <c r="P19" s="153"/>
      <c r="Q19" s="153"/>
      <c r="S19" s="153"/>
      <c r="T19" s="153"/>
      <c r="U19" s="153"/>
      <c r="W19" s="196"/>
      <c r="X19" s="337"/>
      <c r="Y19" s="337"/>
      <c r="Z19" s="350"/>
      <c r="AA19" s="337"/>
      <c r="AB19" s="337"/>
      <c r="AC19" s="153"/>
      <c r="AD19" s="206"/>
    </row>
    <row r="20" spans="1:30" ht="24">
      <c r="A20" s="95">
        <f>A19+1</f>
        <v>6</v>
      </c>
      <c r="C20" s="293">
        <v>37529</v>
      </c>
      <c r="D20" s="304" t="s">
        <v>344</v>
      </c>
      <c r="E20" s="305" t="s">
        <v>256</v>
      </c>
      <c r="F20" s="302" t="s">
        <v>197</v>
      </c>
      <c r="G20" s="121">
        <v>70564</v>
      </c>
      <c r="H20" s="142"/>
      <c r="I20" s="161">
        <f t="shared" si="2"/>
        <v>0</v>
      </c>
      <c r="J20" s="153"/>
      <c r="K20" s="153"/>
      <c r="L20" s="153"/>
      <c r="M20" s="153"/>
      <c r="N20" s="153"/>
      <c r="O20" s="153"/>
      <c r="P20" s="153"/>
      <c r="Q20" s="153"/>
      <c r="S20" s="153"/>
      <c r="T20" s="153"/>
      <c r="U20" s="153"/>
      <c r="W20" s="196"/>
      <c r="X20" s="337"/>
      <c r="Y20" s="337"/>
      <c r="Z20" s="337"/>
      <c r="AA20" s="337"/>
      <c r="AB20" s="337"/>
      <c r="AC20" s="153"/>
      <c r="AD20" s="206"/>
    </row>
    <row r="21" spans="1:30" ht="12.75">
      <c r="A21" s="292">
        <f t="shared" si="1"/>
        <v>7</v>
      </c>
      <c r="C21" s="293">
        <v>37529</v>
      </c>
      <c r="D21" s="303" t="s">
        <v>355</v>
      </c>
      <c r="E21" s="306" t="s">
        <v>262</v>
      </c>
      <c r="F21" s="302" t="s">
        <v>8</v>
      </c>
      <c r="G21" s="121">
        <v>150000</v>
      </c>
      <c r="H21" s="142"/>
      <c r="I21" s="161">
        <f t="shared" si="2"/>
        <v>0</v>
      </c>
      <c r="J21" s="153"/>
      <c r="K21" s="153"/>
      <c r="L21" s="153"/>
      <c r="M21" s="153"/>
      <c r="N21" s="153"/>
      <c r="O21" s="153"/>
      <c r="P21" s="153"/>
      <c r="Q21" s="153"/>
      <c r="T21" s="153"/>
      <c r="U21" s="153"/>
      <c r="V21" s="153"/>
      <c r="W21" s="196"/>
      <c r="X21" s="337"/>
      <c r="Y21" s="337"/>
      <c r="Z21" s="337"/>
      <c r="AA21" s="337"/>
      <c r="AB21" s="337"/>
      <c r="AC21" s="153"/>
      <c r="AD21" s="206"/>
    </row>
    <row r="22" spans="1:30" ht="24">
      <c r="A22" s="95">
        <f t="shared" si="1"/>
        <v>8</v>
      </c>
      <c r="C22" s="293">
        <v>37529</v>
      </c>
      <c r="D22" s="294" t="s">
        <v>357</v>
      </c>
      <c r="E22" s="305" t="s">
        <v>296</v>
      </c>
      <c r="F22" s="243" t="s">
        <v>10</v>
      </c>
      <c r="G22" s="121">
        <v>41285</v>
      </c>
      <c r="H22" s="142"/>
      <c r="I22" s="161">
        <f t="shared" si="2"/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37"/>
      <c r="W22" s="196"/>
      <c r="X22" s="337"/>
      <c r="Y22" s="337"/>
      <c r="Z22" s="337"/>
      <c r="AA22" s="337"/>
      <c r="AB22" s="337"/>
      <c r="AC22" s="153"/>
      <c r="AD22" s="206"/>
    </row>
    <row r="23" spans="1:30" ht="12.75">
      <c r="A23" s="95">
        <f t="shared" si="1"/>
        <v>9</v>
      </c>
      <c r="C23" s="293">
        <v>37529</v>
      </c>
      <c r="D23" s="294" t="s">
        <v>360</v>
      </c>
      <c r="E23" s="305" t="s">
        <v>294</v>
      </c>
      <c r="F23" s="295" t="s">
        <v>189</v>
      </c>
      <c r="G23" s="307">
        <v>0</v>
      </c>
      <c r="H23" s="142"/>
      <c r="I23" s="161">
        <f t="shared" si="2"/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37"/>
      <c r="W23" s="196"/>
      <c r="X23" s="337"/>
      <c r="Y23" s="337"/>
      <c r="Z23" s="337"/>
      <c r="AA23" s="337"/>
      <c r="AB23" s="337"/>
      <c r="AC23" s="153"/>
      <c r="AD23" s="206"/>
    </row>
    <row r="24" spans="1:30" ht="12.75">
      <c r="A24" s="95">
        <f t="shared" si="1"/>
        <v>10</v>
      </c>
      <c r="C24" s="293">
        <v>37529</v>
      </c>
      <c r="D24" s="308" t="s">
        <v>358</v>
      </c>
      <c r="E24" s="305" t="s">
        <v>263</v>
      </c>
      <c r="F24" s="295" t="s">
        <v>8</v>
      </c>
      <c r="G24" s="307">
        <v>34000</v>
      </c>
      <c r="H24" s="142"/>
      <c r="I24" s="161">
        <f t="shared" si="2"/>
        <v>0</v>
      </c>
      <c r="J24" s="153"/>
      <c r="K24" s="153"/>
      <c r="L24" s="153"/>
      <c r="M24" s="153"/>
      <c r="N24" s="153"/>
      <c r="Q24" s="153"/>
      <c r="R24" s="153"/>
      <c r="S24" s="153"/>
      <c r="T24" s="153"/>
      <c r="U24" s="153"/>
      <c r="V24" s="37"/>
      <c r="W24" s="196"/>
      <c r="X24" s="337"/>
      <c r="Y24" s="337"/>
      <c r="Z24" s="337"/>
      <c r="AA24" s="337"/>
      <c r="AB24" s="337"/>
      <c r="AC24" s="153"/>
      <c r="AD24" s="206"/>
    </row>
    <row r="25" spans="1:30" ht="36">
      <c r="A25" s="95">
        <f t="shared" si="1"/>
        <v>11</v>
      </c>
      <c r="C25" s="293">
        <v>37529</v>
      </c>
      <c r="D25" s="308" t="s">
        <v>350</v>
      </c>
      <c r="E25" s="305" t="s">
        <v>351</v>
      </c>
      <c r="F25" s="295" t="s">
        <v>191</v>
      </c>
      <c r="G25" s="307">
        <v>456725</v>
      </c>
      <c r="H25" s="142"/>
      <c r="I25" s="161">
        <f t="shared" si="2"/>
        <v>0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37"/>
      <c r="W25" s="346"/>
      <c r="X25" s="337"/>
      <c r="Y25" s="337"/>
      <c r="Z25" s="337"/>
      <c r="AA25" s="337"/>
      <c r="AB25" s="337"/>
      <c r="AC25" s="153"/>
      <c r="AD25" s="206"/>
    </row>
    <row r="26" spans="3:30" ht="13.5" thickBot="1">
      <c r="C26" s="284"/>
      <c r="D26" s="309"/>
      <c r="E26" s="290"/>
      <c r="F26" s="288"/>
      <c r="G26" s="310">
        <f>SUM(G15:G25)</f>
        <v>1196145.8253968253</v>
      </c>
      <c r="H26" s="142"/>
      <c r="I26" s="161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37"/>
      <c r="W26" s="196"/>
      <c r="X26" s="337"/>
      <c r="Y26" s="337"/>
      <c r="Z26" s="337"/>
      <c r="AA26" s="337"/>
      <c r="AB26" s="337"/>
      <c r="AC26" s="153"/>
      <c r="AD26" s="206"/>
    </row>
    <row r="27" spans="1:30" ht="12.75">
      <c r="A27" s="289" t="s">
        <v>18</v>
      </c>
      <c r="C27" s="284"/>
      <c r="E27" s="290"/>
      <c r="F27" s="288"/>
      <c r="G27" s="299"/>
      <c r="H27" s="14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37"/>
      <c r="W27" s="196"/>
      <c r="X27" s="337"/>
      <c r="Y27" s="337"/>
      <c r="Z27" s="337"/>
      <c r="AA27" s="337"/>
      <c r="AB27" s="337"/>
      <c r="AC27" s="153"/>
      <c r="AD27" s="206"/>
    </row>
    <row r="28" spans="1:30" ht="12.75">
      <c r="A28" s="95">
        <v>1</v>
      </c>
      <c r="C28" s="293">
        <v>37529</v>
      </c>
      <c r="D28" s="311" t="s">
        <v>288</v>
      </c>
      <c r="E28" s="305" t="s">
        <v>260</v>
      </c>
      <c r="F28" s="243" t="s">
        <v>9</v>
      </c>
      <c r="G28" s="307">
        <f>4000*12</f>
        <v>48000</v>
      </c>
      <c r="H28" s="142"/>
      <c r="I28" s="161">
        <f aca="true" t="shared" si="3" ref="I28:I46">SUM(J28:AC28)</f>
        <v>0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37"/>
      <c r="W28" s="196"/>
      <c r="X28" s="337"/>
      <c r="Y28" s="337"/>
      <c r="Z28" s="337"/>
      <c r="AA28" s="337"/>
      <c r="AB28" s="337"/>
      <c r="AC28" s="153"/>
      <c r="AD28" s="206"/>
    </row>
    <row r="29" spans="1:30" ht="12.75">
      <c r="A29" s="95">
        <f>A28+1</f>
        <v>2</v>
      </c>
      <c r="C29" s="293">
        <v>37529</v>
      </c>
      <c r="D29" s="305" t="s">
        <v>138</v>
      </c>
      <c r="E29" s="305" t="s">
        <v>260</v>
      </c>
      <c r="F29" s="295" t="s">
        <v>9</v>
      </c>
      <c r="G29" s="307">
        <f>3000*12</f>
        <v>36000</v>
      </c>
      <c r="H29" s="142"/>
      <c r="I29" s="161">
        <f t="shared" si="3"/>
        <v>0</v>
      </c>
      <c r="J29" s="153"/>
      <c r="K29" s="153"/>
      <c r="L29" s="153"/>
      <c r="M29" s="153"/>
      <c r="N29" s="153"/>
      <c r="O29" s="153"/>
      <c r="P29" s="153"/>
      <c r="Q29" s="153"/>
      <c r="T29" s="153"/>
      <c r="U29" s="153"/>
      <c r="V29" s="153"/>
      <c r="W29" s="346"/>
      <c r="X29" s="337"/>
      <c r="Y29" s="337"/>
      <c r="Z29" s="337"/>
      <c r="AA29" s="337"/>
      <c r="AB29" s="337"/>
      <c r="AC29" s="153"/>
      <c r="AD29" s="206"/>
    </row>
    <row r="30" spans="1:30" ht="12.75">
      <c r="A30" s="95">
        <f aca="true" t="shared" si="4" ref="A30:A46">A29+1</f>
        <v>3</v>
      </c>
      <c r="C30" s="293">
        <v>37529</v>
      </c>
      <c r="D30" s="311" t="s">
        <v>137</v>
      </c>
      <c r="E30" s="305" t="s">
        <v>260</v>
      </c>
      <c r="F30" s="295" t="s">
        <v>9</v>
      </c>
      <c r="G30" s="307">
        <f>2500*12</f>
        <v>30000</v>
      </c>
      <c r="H30" s="142"/>
      <c r="I30" s="161">
        <f t="shared" si="3"/>
        <v>0</v>
      </c>
      <c r="J30" s="153"/>
      <c r="K30" s="153"/>
      <c r="L30" s="153"/>
      <c r="M30" s="153"/>
      <c r="N30" s="153"/>
      <c r="O30" s="153"/>
      <c r="P30" s="153"/>
      <c r="Q30" s="153"/>
      <c r="T30" s="153"/>
      <c r="U30" s="153"/>
      <c r="V30" s="153"/>
      <c r="W30" s="346"/>
      <c r="X30" s="337"/>
      <c r="Y30" s="337"/>
      <c r="Z30" s="337"/>
      <c r="AA30" s="337"/>
      <c r="AB30" s="337"/>
      <c r="AC30" s="153"/>
      <c r="AD30" s="206"/>
    </row>
    <row r="31" spans="1:30" ht="24">
      <c r="A31" s="95">
        <f t="shared" si="4"/>
        <v>4</v>
      </c>
      <c r="C31" s="293">
        <v>37529</v>
      </c>
      <c r="D31" s="304" t="s">
        <v>344</v>
      </c>
      <c r="E31" s="305" t="s">
        <v>284</v>
      </c>
      <c r="F31" s="295" t="s">
        <v>197</v>
      </c>
      <c r="G31" s="307">
        <f>325000/6*5</f>
        <v>270833.3333333333</v>
      </c>
      <c r="H31" s="150"/>
      <c r="I31" s="161">
        <f t="shared" si="3"/>
        <v>0</v>
      </c>
      <c r="J31" s="153"/>
      <c r="K31" s="153"/>
      <c r="L31" s="153"/>
      <c r="M31" s="153"/>
      <c r="N31" s="153"/>
      <c r="O31" s="153"/>
      <c r="P31" s="153"/>
      <c r="Q31" s="153"/>
      <c r="T31" s="153"/>
      <c r="U31" s="153"/>
      <c r="V31" s="153"/>
      <c r="W31" s="196"/>
      <c r="X31" s="337"/>
      <c r="Y31" s="337"/>
      <c r="Z31" s="337"/>
      <c r="AA31" s="337"/>
      <c r="AB31" s="337"/>
      <c r="AC31" s="153"/>
      <c r="AD31" s="206"/>
    </row>
    <row r="32" spans="1:30" ht="12.75">
      <c r="A32" s="95">
        <f t="shared" si="4"/>
        <v>5</v>
      </c>
      <c r="C32" s="293">
        <v>37529</v>
      </c>
      <c r="D32" s="305" t="s">
        <v>302</v>
      </c>
      <c r="E32" s="305" t="s">
        <v>260</v>
      </c>
      <c r="F32" s="295" t="s">
        <v>8</v>
      </c>
      <c r="G32" s="307">
        <f>3450*12</f>
        <v>41400</v>
      </c>
      <c r="H32" s="150"/>
      <c r="I32" s="161">
        <f t="shared" si="3"/>
        <v>0</v>
      </c>
      <c r="J32" s="153"/>
      <c r="K32" s="153"/>
      <c r="L32" s="153"/>
      <c r="M32" s="153"/>
      <c r="N32" s="153"/>
      <c r="O32" s="153"/>
      <c r="P32" s="153"/>
      <c r="Q32" s="153"/>
      <c r="T32" s="153"/>
      <c r="U32" s="153"/>
      <c r="V32" s="153"/>
      <c r="W32" s="196"/>
      <c r="X32" s="337"/>
      <c r="Y32" s="337"/>
      <c r="Z32" s="337"/>
      <c r="AA32" s="337"/>
      <c r="AB32" s="337"/>
      <c r="AC32" s="153"/>
      <c r="AD32" s="206"/>
    </row>
    <row r="33" spans="1:30" ht="12.75">
      <c r="A33" s="95">
        <f t="shared" si="4"/>
        <v>6</v>
      </c>
      <c r="C33" s="293">
        <v>37529</v>
      </c>
      <c r="D33" s="305" t="s">
        <v>285</v>
      </c>
      <c r="E33" s="305" t="s">
        <v>260</v>
      </c>
      <c r="F33" s="295" t="s">
        <v>8</v>
      </c>
      <c r="G33" s="307">
        <f>2700*3</f>
        <v>8100</v>
      </c>
      <c r="H33" s="150"/>
      <c r="I33" s="161">
        <f t="shared" si="3"/>
        <v>0</v>
      </c>
      <c r="J33" s="153"/>
      <c r="K33" s="153"/>
      <c r="L33" s="153"/>
      <c r="M33" s="153"/>
      <c r="N33" s="153"/>
      <c r="O33" s="153"/>
      <c r="P33" s="153"/>
      <c r="Q33" s="153"/>
      <c r="T33" s="153"/>
      <c r="U33" s="153"/>
      <c r="V33" s="153"/>
      <c r="W33" s="346"/>
      <c r="X33" s="337"/>
      <c r="Y33" s="337"/>
      <c r="Z33" s="337"/>
      <c r="AA33" s="337"/>
      <c r="AB33" s="337"/>
      <c r="AC33" s="153"/>
      <c r="AD33" s="206"/>
    </row>
    <row r="34" spans="1:30" ht="12.75">
      <c r="A34" s="95">
        <f t="shared" si="4"/>
        <v>7</v>
      </c>
      <c r="C34" s="293">
        <v>37529</v>
      </c>
      <c r="D34" s="305" t="s">
        <v>71</v>
      </c>
      <c r="E34" s="305" t="s">
        <v>260</v>
      </c>
      <c r="F34" s="295" t="s">
        <v>8</v>
      </c>
      <c r="G34" s="307" t="s">
        <v>124</v>
      </c>
      <c r="H34" s="150"/>
      <c r="I34" s="161">
        <f t="shared" si="3"/>
        <v>0</v>
      </c>
      <c r="J34" s="153"/>
      <c r="K34" s="153"/>
      <c r="L34" s="153"/>
      <c r="M34" s="153"/>
      <c r="N34" s="153"/>
      <c r="O34" s="153"/>
      <c r="P34" s="153"/>
      <c r="Q34" s="153"/>
      <c r="T34" s="153"/>
      <c r="U34" s="153"/>
      <c r="V34" s="153"/>
      <c r="W34" s="346"/>
      <c r="X34" s="337"/>
      <c r="Y34" s="337"/>
      <c r="Z34" s="337"/>
      <c r="AA34" s="337"/>
      <c r="AB34" s="337"/>
      <c r="AC34" s="153"/>
      <c r="AD34" s="206"/>
    </row>
    <row r="35" spans="1:30" ht="12.75">
      <c r="A35" s="95">
        <f t="shared" si="4"/>
        <v>8</v>
      </c>
      <c r="C35" s="293">
        <v>37529</v>
      </c>
      <c r="D35" s="305" t="s">
        <v>16</v>
      </c>
      <c r="E35" s="305" t="s">
        <v>260</v>
      </c>
      <c r="F35" s="295" t="s">
        <v>8</v>
      </c>
      <c r="G35" s="307">
        <f>1250*12</f>
        <v>15000</v>
      </c>
      <c r="H35" s="150"/>
      <c r="I35" s="161">
        <f t="shared" si="3"/>
        <v>0</v>
      </c>
      <c r="J35" s="153"/>
      <c r="K35" s="153"/>
      <c r="L35" s="153"/>
      <c r="M35" s="153"/>
      <c r="N35" s="153"/>
      <c r="O35" s="153"/>
      <c r="P35" s="153"/>
      <c r="Q35" s="153"/>
      <c r="T35" s="153"/>
      <c r="U35" s="153"/>
      <c r="V35" s="153"/>
      <c r="W35" s="346"/>
      <c r="X35" s="337"/>
      <c r="Y35" s="337"/>
      <c r="Z35" s="337"/>
      <c r="AA35" s="337"/>
      <c r="AB35" s="337"/>
      <c r="AC35" s="153"/>
      <c r="AD35" s="206"/>
    </row>
    <row r="36" spans="1:30" ht="12.75">
      <c r="A36" s="95">
        <f t="shared" si="4"/>
        <v>9</v>
      </c>
      <c r="C36" s="293">
        <v>37529</v>
      </c>
      <c r="D36" s="305" t="s">
        <v>142</v>
      </c>
      <c r="E36" s="305" t="s">
        <v>260</v>
      </c>
      <c r="F36" s="295" t="s">
        <v>8</v>
      </c>
      <c r="G36" s="307">
        <f>2000*12</f>
        <v>24000</v>
      </c>
      <c r="H36" s="150"/>
      <c r="I36" s="161">
        <f t="shared" si="3"/>
        <v>0</v>
      </c>
      <c r="J36" s="153"/>
      <c r="K36" s="153"/>
      <c r="L36" s="153"/>
      <c r="M36" s="153"/>
      <c r="N36" s="153"/>
      <c r="O36" s="153"/>
      <c r="P36" s="153"/>
      <c r="Q36" s="153"/>
      <c r="T36" s="153"/>
      <c r="U36" s="153"/>
      <c r="V36" s="153"/>
      <c r="W36" s="346"/>
      <c r="X36" s="337"/>
      <c r="Y36" s="337"/>
      <c r="Z36" s="337"/>
      <c r="AA36" s="337"/>
      <c r="AB36" s="337"/>
      <c r="AC36" s="153"/>
      <c r="AD36" s="206"/>
    </row>
    <row r="37" spans="1:30" ht="12.75">
      <c r="A37" s="95">
        <f t="shared" si="4"/>
        <v>10</v>
      </c>
      <c r="C37" s="293">
        <v>37529</v>
      </c>
      <c r="D37" s="305" t="s">
        <v>140</v>
      </c>
      <c r="E37" s="305" t="s">
        <v>260</v>
      </c>
      <c r="F37" s="295" t="s">
        <v>8</v>
      </c>
      <c r="G37" s="307">
        <f>2450*12</f>
        <v>29400</v>
      </c>
      <c r="H37" s="150"/>
      <c r="I37" s="161">
        <f t="shared" si="3"/>
        <v>0</v>
      </c>
      <c r="J37" s="153"/>
      <c r="K37" s="153"/>
      <c r="L37" s="153"/>
      <c r="M37" s="153"/>
      <c r="N37" s="153"/>
      <c r="O37" s="153"/>
      <c r="P37" s="153"/>
      <c r="Q37" s="153"/>
      <c r="T37" s="153"/>
      <c r="U37" s="153"/>
      <c r="V37" s="153"/>
      <c r="W37" s="196"/>
      <c r="X37" s="337"/>
      <c r="Y37" s="337"/>
      <c r="Z37" s="337"/>
      <c r="AA37" s="337"/>
      <c r="AB37" s="337"/>
      <c r="AC37" s="153"/>
      <c r="AD37" s="206"/>
    </row>
    <row r="38" spans="1:30" ht="12.75">
      <c r="A38" s="95">
        <f t="shared" si="4"/>
        <v>11</v>
      </c>
      <c r="C38" s="293">
        <v>37529</v>
      </c>
      <c r="D38" s="305" t="s">
        <v>340</v>
      </c>
      <c r="E38" s="305" t="s">
        <v>260</v>
      </c>
      <c r="F38" s="295" t="s">
        <v>8</v>
      </c>
      <c r="G38" s="307">
        <f>4200*12</f>
        <v>50400</v>
      </c>
      <c r="H38" s="150"/>
      <c r="I38" s="161">
        <f t="shared" si="3"/>
        <v>0</v>
      </c>
      <c r="J38" s="153"/>
      <c r="K38" s="153"/>
      <c r="L38" s="153"/>
      <c r="M38" s="153"/>
      <c r="N38" s="153"/>
      <c r="O38" s="153"/>
      <c r="P38" s="153"/>
      <c r="Q38" s="153"/>
      <c r="T38" s="153"/>
      <c r="U38" s="153"/>
      <c r="V38" s="153"/>
      <c r="W38" s="196"/>
      <c r="X38" s="337"/>
      <c r="Y38" s="337"/>
      <c r="Z38" s="337"/>
      <c r="AA38" s="337"/>
      <c r="AB38" s="337"/>
      <c r="AC38" s="153"/>
      <c r="AD38" s="206"/>
    </row>
    <row r="39" spans="1:30" ht="12.75">
      <c r="A39" s="95">
        <f t="shared" si="4"/>
        <v>12</v>
      </c>
      <c r="C39" s="293">
        <v>37529</v>
      </c>
      <c r="D39" s="304" t="s">
        <v>286</v>
      </c>
      <c r="E39" s="305" t="s">
        <v>260</v>
      </c>
      <c r="F39" s="243" t="s">
        <v>22</v>
      </c>
      <c r="G39" s="307">
        <f>6300*12</f>
        <v>75600</v>
      </c>
      <c r="H39" s="150"/>
      <c r="I39" s="161">
        <f t="shared" si="3"/>
        <v>0</v>
      </c>
      <c r="J39" s="153"/>
      <c r="K39" s="153"/>
      <c r="L39" s="153"/>
      <c r="M39" s="153"/>
      <c r="N39" s="153"/>
      <c r="O39" s="153"/>
      <c r="P39" s="153"/>
      <c r="Q39" s="153"/>
      <c r="T39" s="105"/>
      <c r="U39" s="105"/>
      <c r="V39" s="105"/>
      <c r="W39" s="346"/>
      <c r="X39" s="338"/>
      <c r="Y39" s="338"/>
      <c r="Z39" s="338"/>
      <c r="AA39" s="338"/>
      <c r="AB39" s="338"/>
      <c r="AC39" s="105"/>
      <c r="AD39" s="208"/>
    </row>
    <row r="40" spans="1:30" ht="24">
      <c r="A40" s="95">
        <f t="shared" si="4"/>
        <v>13</v>
      </c>
      <c r="C40" s="293">
        <v>37529</v>
      </c>
      <c r="D40" s="304" t="s">
        <v>341</v>
      </c>
      <c r="E40" s="305" t="s">
        <v>260</v>
      </c>
      <c r="F40" s="243" t="s">
        <v>22</v>
      </c>
      <c r="G40" s="307">
        <f>4000*12</f>
        <v>48000</v>
      </c>
      <c r="H40" s="150"/>
      <c r="I40" s="161">
        <f t="shared" si="3"/>
        <v>0</v>
      </c>
      <c r="J40" s="153"/>
      <c r="K40" s="153"/>
      <c r="L40" s="153"/>
      <c r="M40" s="153"/>
      <c r="N40" s="153"/>
      <c r="O40" s="153"/>
      <c r="P40" s="153"/>
      <c r="Q40" s="153"/>
      <c r="T40" s="153"/>
      <c r="U40" s="153"/>
      <c r="V40" s="153"/>
      <c r="W40" s="346"/>
      <c r="X40" s="337"/>
      <c r="Y40" s="337"/>
      <c r="Z40" s="337"/>
      <c r="AA40" s="337"/>
      <c r="AB40" s="337"/>
      <c r="AC40" s="153"/>
      <c r="AD40" s="206"/>
    </row>
    <row r="41" spans="1:30" ht="36">
      <c r="A41" s="95">
        <f t="shared" si="4"/>
        <v>14</v>
      </c>
      <c r="C41" s="293">
        <v>37529</v>
      </c>
      <c r="D41" s="305" t="s">
        <v>141</v>
      </c>
      <c r="E41" s="305" t="s">
        <v>260</v>
      </c>
      <c r="F41" s="243" t="s">
        <v>22</v>
      </c>
      <c r="G41" s="307">
        <f>3500*12</f>
        <v>42000</v>
      </c>
      <c r="H41" s="150"/>
      <c r="I41" s="161">
        <f t="shared" si="3"/>
        <v>0</v>
      </c>
      <c r="J41" s="153"/>
      <c r="K41" s="153"/>
      <c r="L41" s="153"/>
      <c r="M41" s="153"/>
      <c r="N41" s="153"/>
      <c r="O41" s="153"/>
      <c r="P41" s="153"/>
      <c r="Q41" s="153"/>
      <c r="T41" s="153"/>
      <c r="U41" s="153"/>
      <c r="V41" s="153"/>
      <c r="W41" s="346"/>
      <c r="X41" s="337"/>
      <c r="Y41" s="337"/>
      <c r="Z41" s="337"/>
      <c r="AA41" s="337"/>
      <c r="AB41" s="337"/>
      <c r="AC41" s="153"/>
      <c r="AD41" s="206"/>
    </row>
    <row r="42" spans="1:30" ht="12.75">
      <c r="A42" s="95">
        <f t="shared" si="4"/>
        <v>15</v>
      </c>
      <c r="C42" s="293">
        <v>37529</v>
      </c>
      <c r="D42" s="305" t="s">
        <v>305</v>
      </c>
      <c r="E42" s="305" t="s">
        <v>260</v>
      </c>
      <c r="F42" s="243" t="s">
        <v>22</v>
      </c>
      <c r="G42" s="307">
        <f>3300*12</f>
        <v>39600</v>
      </c>
      <c r="H42" s="150"/>
      <c r="I42" s="161">
        <f t="shared" si="3"/>
        <v>0</v>
      </c>
      <c r="J42" s="153"/>
      <c r="K42" s="153"/>
      <c r="L42" s="153"/>
      <c r="M42" s="153"/>
      <c r="N42" s="153"/>
      <c r="O42" s="153"/>
      <c r="P42" s="153"/>
      <c r="Q42" s="153"/>
      <c r="T42" s="153"/>
      <c r="U42" s="153"/>
      <c r="V42" s="153"/>
      <c r="W42" s="196"/>
      <c r="X42" s="337"/>
      <c r="Y42" s="337"/>
      <c r="Z42" s="337"/>
      <c r="AA42" s="337"/>
      <c r="AB42" s="337"/>
      <c r="AC42" s="153"/>
      <c r="AD42" s="206"/>
    </row>
    <row r="43" spans="1:30" ht="12.75">
      <c r="A43" s="95">
        <f t="shared" si="4"/>
        <v>16</v>
      </c>
      <c r="C43" s="293">
        <v>37529</v>
      </c>
      <c r="D43" s="305" t="s">
        <v>73</v>
      </c>
      <c r="E43" s="305" t="s">
        <v>260</v>
      </c>
      <c r="F43" s="243" t="s">
        <v>22</v>
      </c>
      <c r="G43" s="307">
        <f>180/6*5*12</f>
        <v>1800</v>
      </c>
      <c r="H43" s="150"/>
      <c r="I43" s="161">
        <f t="shared" si="3"/>
        <v>0</v>
      </c>
      <c r="J43" s="153"/>
      <c r="K43" s="153"/>
      <c r="L43" s="153"/>
      <c r="M43" s="153"/>
      <c r="N43" s="153"/>
      <c r="O43" s="153"/>
      <c r="P43" s="153"/>
      <c r="Q43" s="153"/>
      <c r="T43" s="153"/>
      <c r="U43" s="153"/>
      <c r="V43" s="153"/>
      <c r="W43" s="196"/>
      <c r="X43" s="337"/>
      <c r="Y43" s="337"/>
      <c r="Z43" s="337"/>
      <c r="AA43" s="337"/>
      <c r="AB43" s="337"/>
      <c r="AC43" s="153"/>
      <c r="AD43" s="206"/>
    </row>
    <row r="44" spans="1:30" ht="24">
      <c r="A44" s="95">
        <f t="shared" si="4"/>
        <v>17</v>
      </c>
      <c r="C44" s="293">
        <v>37529</v>
      </c>
      <c r="D44" s="305" t="s">
        <v>350</v>
      </c>
      <c r="E44" s="305" t="s">
        <v>260</v>
      </c>
      <c r="F44" s="243" t="s">
        <v>22</v>
      </c>
      <c r="G44" s="307">
        <f>447.92*12</f>
        <v>5375.04</v>
      </c>
      <c r="H44" s="142"/>
      <c r="I44" s="161">
        <f t="shared" si="3"/>
        <v>0</v>
      </c>
      <c r="J44" s="153"/>
      <c r="K44" s="153"/>
      <c r="L44" s="153"/>
      <c r="M44" s="153"/>
      <c r="N44" s="153"/>
      <c r="O44" s="153"/>
      <c r="P44" s="153"/>
      <c r="Q44" s="153"/>
      <c r="T44" s="153"/>
      <c r="U44" s="153"/>
      <c r="V44" s="153"/>
      <c r="W44" s="196"/>
      <c r="X44" s="337"/>
      <c r="Y44" s="337"/>
      <c r="Z44" s="337"/>
      <c r="AA44" s="337"/>
      <c r="AB44" s="337"/>
      <c r="AC44" s="153"/>
      <c r="AD44" s="206"/>
    </row>
    <row r="45" spans="1:30" ht="12.75">
      <c r="A45" s="95">
        <f t="shared" si="4"/>
        <v>18</v>
      </c>
      <c r="C45" s="293">
        <v>37529</v>
      </c>
      <c r="D45" s="305" t="s">
        <v>23</v>
      </c>
      <c r="E45" s="305" t="s">
        <v>260</v>
      </c>
      <c r="F45" s="243" t="s">
        <v>22</v>
      </c>
      <c r="G45" s="307">
        <f>667*12</f>
        <v>8004</v>
      </c>
      <c r="H45" s="142"/>
      <c r="I45" s="161">
        <f t="shared" si="3"/>
        <v>0</v>
      </c>
      <c r="J45" s="153"/>
      <c r="K45" s="153"/>
      <c r="L45" s="153"/>
      <c r="M45" s="153"/>
      <c r="N45" s="153"/>
      <c r="O45" s="153"/>
      <c r="P45" s="153"/>
      <c r="Q45" s="153"/>
      <c r="T45" s="153"/>
      <c r="U45" s="153"/>
      <c r="V45" s="153"/>
      <c r="W45" s="346"/>
      <c r="X45" s="337"/>
      <c r="Y45" s="337"/>
      <c r="Z45" s="337"/>
      <c r="AA45" s="337"/>
      <c r="AB45" s="337"/>
      <c r="AC45" s="153"/>
      <c r="AD45" s="206"/>
    </row>
    <row r="46" spans="1:30" ht="12.75">
      <c r="A46" s="95">
        <f t="shared" si="4"/>
        <v>19</v>
      </c>
      <c r="C46" s="293">
        <v>37529</v>
      </c>
      <c r="D46" s="305" t="s">
        <v>357</v>
      </c>
      <c r="E46" s="305" t="s">
        <v>260</v>
      </c>
      <c r="F46" s="243" t="s">
        <v>10</v>
      </c>
      <c r="G46" s="312">
        <v>8200</v>
      </c>
      <c r="H46" s="142"/>
      <c r="I46" s="161">
        <f t="shared" si="3"/>
        <v>0</v>
      </c>
      <c r="J46" s="153"/>
      <c r="K46" s="153"/>
      <c r="L46" s="153"/>
      <c r="M46" s="153"/>
      <c r="N46" s="153"/>
      <c r="O46" s="153"/>
      <c r="P46" s="153"/>
      <c r="Q46" s="153"/>
      <c r="T46" s="153"/>
      <c r="U46" s="153"/>
      <c r="V46" s="153"/>
      <c r="W46" s="196"/>
      <c r="X46" s="337"/>
      <c r="Y46" s="337"/>
      <c r="Z46" s="337"/>
      <c r="AA46" s="337"/>
      <c r="AB46" s="337"/>
      <c r="AC46" s="153"/>
      <c r="AD46" s="206"/>
    </row>
    <row r="47" spans="4:30" ht="12.75">
      <c r="D47" s="309"/>
      <c r="E47" s="290"/>
      <c r="F47" s="288"/>
      <c r="G47" s="313">
        <f>SUM(G28:G46)</f>
        <v>781712.3733333333</v>
      </c>
      <c r="H47" s="142"/>
      <c r="I47" s="153"/>
      <c r="J47" s="153"/>
      <c r="K47" s="153"/>
      <c r="L47" s="153"/>
      <c r="M47" s="153"/>
      <c r="N47" s="153"/>
      <c r="O47" s="153"/>
      <c r="P47" s="153"/>
      <c r="Q47" s="153"/>
      <c r="S47" s="153"/>
      <c r="T47" s="153"/>
      <c r="U47" s="153"/>
      <c r="V47" s="153"/>
      <c r="W47" s="196"/>
      <c r="X47" s="337"/>
      <c r="Y47" s="337"/>
      <c r="Z47" s="337"/>
      <c r="AA47" s="337"/>
      <c r="AB47" s="337"/>
      <c r="AC47" s="153"/>
      <c r="AD47" s="206"/>
    </row>
    <row r="48" spans="1:30" ht="12.75">
      <c r="A48" s="289" t="s">
        <v>15</v>
      </c>
      <c r="E48" s="290"/>
      <c r="F48" s="288"/>
      <c r="G48" s="312"/>
      <c r="H48" s="142"/>
      <c r="I48" s="153"/>
      <c r="J48" s="153"/>
      <c r="K48" s="153"/>
      <c r="L48" s="153"/>
      <c r="M48" s="153"/>
      <c r="N48" s="153"/>
      <c r="O48" s="153"/>
      <c r="P48" s="153"/>
      <c r="Q48" s="153"/>
      <c r="S48" s="153"/>
      <c r="T48" s="153"/>
      <c r="U48" s="153"/>
      <c r="V48" s="153"/>
      <c r="W48" s="196"/>
      <c r="X48" s="337"/>
      <c r="Y48" s="337"/>
      <c r="Z48" s="337"/>
      <c r="AA48" s="337"/>
      <c r="AB48" s="337"/>
      <c r="AC48" s="153"/>
      <c r="AD48" s="206"/>
    </row>
    <row r="49" spans="1:30" ht="24">
      <c r="A49" s="95">
        <v>1</v>
      </c>
      <c r="C49" s="293">
        <v>37399</v>
      </c>
      <c r="D49" s="305" t="s">
        <v>350</v>
      </c>
      <c r="E49" s="305" t="s">
        <v>89</v>
      </c>
      <c r="F49" s="243" t="s">
        <v>22</v>
      </c>
      <c r="G49" s="307">
        <v>5500</v>
      </c>
      <c r="H49" s="142"/>
      <c r="I49" s="161">
        <f>SUM(J49:AC49)</f>
        <v>0</v>
      </c>
      <c r="J49" s="153"/>
      <c r="K49" s="153"/>
      <c r="L49" s="153"/>
      <c r="M49" s="153"/>
      <c r="N49" s="153"/>
      <c r="O49" s="153"/>
      <c r="P49" s="153"/>
      <c r="Q49" s="153"/>
      <c r="S49" s="153"/>
      <c r="T49" s="153"/>
      <c r="U49" s="153"/>
      <c r="V49" s="153"/>
      <c r="W49" s="196"/>
      <c r="X49" s="337"/>
      <c r="Y49" s="337"/>
      <c r="Z49" s="337"/>
      <c r="AA49" s="337"/>
      <c r="AB49" s="337"/>
      <c r="AC49" s="153"/>
      <c r="AD49" s="206"/>
    </row>
    <row r="50" spans="1:30" ht="12.75">
      <c r="A50" s="95">
        <f>A49+1</f>
        <v>2</v>
      </c>
      <c r="C50" s="293">
        <v>37396</v>
      </c>
      <c r="D50" s="305" t="s">
        <v>311</v>
      </c>
      <c r="E50" s="305" t="s">
        <v>311</v>
      </c>
      <c r="F50" s="295" t="s">
        <v>9</v>
      </c>
      <c r="G50" s="307">
        <v>10700</v>
      </c>
      <c r="H50" s="142"/>
      <c r="I50" s="161">
        <f>SUM(J50:AC50)</f>
        <v>0</v>
      </c>
      <c r="J50" s="153"/>
      <c r="K50" s="153"/>
      <c r="L50" s="153"/>
      <c r="M50" s="153"/>
      <c r="N50" s="153"/>
      <c r="O50" s="153"/>
      <c r="P50" s="153"/>
      <c r="Q50" s="153"/>
      <c r="S50" s="153"/>
      <c r="T50" s="153"/>
      <c r="U50" s="153"/>
      <c r="V50" s="153"/>
      <c r="W50" s="196"/>
      <c r="X50" s="337"/>
      <c r="Y50" s="337"/>
      <c r="Z50" s="337"/>
      <c r="AA50" s="337"/>
      <c r="AB50" s="337"/>
      <c r="AC50" s="153"/>
      <c r="AD50" s="206"/>
    </row>
    <row r="51" spans="1:30" ht="12.75">
      <c r="A51" s="95">
        <f>A50+1</f>
        <v>3</v>
      </c>
      <c r="C51" s="293">
        <v>37368</v>
      </c>
      <c r="D51" s="305" t="s">
        <v>24</v>
      </c>
      <c r="E51" s="305" t="s">
        <v>217</v>
      </c>
      <c r="F51" s="295" t="s">
        <v>410</v>
      </c>
      <c r="G51" s="307">
        <v>230000</v>
      </c>
      <c r="H51" s="142"/>
      <c r="I51" s="161">
        <f>SUM(J51:AC51)</f>
        <v>0</v>
      </c>
      <c r="J51" s="153"/>
      <c r="K51" s="153"/>
      <c r="L51" s="153"/>
      <c r="M51" s="153"/>
      <c r="N51" s="153"/>
      <c r="O51" s="153"/>
      <c r="P51" s="153"/>
      <c r="Q51" s="153"/>
      <c r="S51" s="153"/>
      <c r="T51" s="153"/>
      <c r="U51" s="153"/>
      <c r="V51" s="153"/>
      <c r="W51" s="196"/>
      <c r="X51" s="337"/>
      <c r="Y51" s="337"/>
      <c r="Z51" s="337"/>
      <c r="AA51" s="337"/>
      <c r="AB51" s="337"/>
      <c r="AC51" s="153"/>
      <c r="AD51" s="206"/>
    </row>
    <row r="52" spans="1:30" ht="24">
      <c r="A52" s="95">
        <f>A24+1</f>
        <v>11</v>
      </c>
      <c r="C52" s="293">
        <v>37396</v>
      </c>
      <c r="D52" s="305" t="s">
        <v>190</v>
      </c>
      <c r="E52" s="305" t="s">
        <v>303</v>
      </c>
      <c r="F52" s="295" t="s">
        <v>22</v>
      </c>
      <c r="G52" s="307">
        <v>75000</v>
      </c>
      <c r="H52" s="142"/>
      <c r="I52" s="161">
        <f>SUM(J52:AC52)</f>
        <v>0</v>
      </c>
      <c r="J52" s="153"/>
      <c r="K52" s="153"/>
      <c r="L52" s="153"/>
      <c r="M52" s="153"/>
      <c r="N52" s="153"/>
      <c r="O52" s="153"/>
      <c r="P52" s="37"/>
      <c r="Q52" s="153"/>
      <c r="S52" s="153"/>
      <c r="T52" s="153"/>
      <c r="U52" s="153"/>
      <c r="V52" s="153"/>
      <c r="W52" s="196"/>
      <c r="X52" s="337"/>
      <c r="Y52" s="337"/>
      <c r="Z52" s="337"/>
      <c r="AA52" s="337"/>
      <c r="AB52" s="337"/>
      <c r="AC52" s="153"/>
      <c r="AD52" s="206"/>
    </row>
    <row r="53" spans="5:30" ht="12.75">
      <c r="E53" s="89"/>
      <c r="G53" s="312"/>
      <c r="H53" s="142"/>
      <c r="I53" s="153"/>
      <c r="J53" s="153"/>
      <c r="K53" s="153"/>
      <c r="L53" s="153"/>
      <c r="M53" s="153"/>
      <c r="N53" s="153"/>
      <c r="O53" s="153"/>
      <c r="P53" s="153"/>
      <c r="Q53" s="153"/>
      <c r="S53" s="153"/>
      <c r="T53" s="153"/>
      <c r="U53" s="153"/>
      <c r="V53" s="153"/>
      <c r="W53" s="196"/>
      <c r="X53" s="337"/>
      <c r="Y53" s="337"/>
      <c r="Z53" s="337"/>
      <c r="AA53" s="337"/>
      <c r="AB53" s="337"/>
      <c r="AC53" s="153"/>
      <c r="AD53" s="206"/>
    </row>
    <row r="54" spans="1:30" ht="12.75">
      <c r="A54" s="314" t="s">
        <v>179</v>
      </c>
      <c r="E54" s="89"/>
      <c r="G54" s="312"/>
      <c r="H54" s="142"/>
      <c r="I54" s="153"/>
      <c r="J54" s="153"/>
      <c r="K54" s="153"/>
      <c r="L54" s="153"/>
      <c r="M54" s="153"/>
      <c r="N54" s="153"/>
      <c r="O54" s="153"/>
      <c r="P54" s="153"/>
      <c r="Q54" s="153"/>
      <c r="S54" s="153"/>
      <c r="T54" s="153"/>
      <c r="U54" s="153"/>
      <c r="V54" s="153"/>
      <c r="W54" s="196"/>
      <c r="X54" s="337"/>
      <c r="Y54" s="337"/>
      <c r="Z54" s="337"/>
      <c r="AA54" s="337"/>
      <c r="AB54" s="337"/>
      <c r="AC54" s="153"/>
      <c r="AD54" s="206"/>
    </row>
    <row r="55" spans="1:30" ht="12.75">
      <c r="A55" s="95">
        <v>1</v>
      </c>
      <c r="C55" s="293">
        <v>37375</v>
      </c>
      <c r="D55" s="305" t="s">
        <v>302</v>
      </c>
      <c r="E55" s="294" t="s">
        <v>264</v>
      </c>
      <c r="F55" s="295" t="s">
        <v>8</v>
      </c>
      <c r="G55" s="315">
        <f>6195.55/6*5</f>
        <v>5162.958333333334</v>
      </c>
      <c r="H55" s="149"/>
      <c r="I55" s="161">
        <f aca="true" t="shared" si="5" ref="I55:I64">SUM(J55:AC55)</f>
        <v>0</v>
      </c>
      <c r="J55" s="153"/>
      <c r="K55" s="153"/>
      <c r="L55" s="153"/>
      <c r="M55" s="153"/>
      <c r="N55" s="153"/>
      <c r="O55" s="153"/>
      <c r="P55" s="153"/>
      <c r="Q55" s="153"/>
      <c r="S55" s="153"/>
      <c r="T55" s="153"/>
      <c r="U55" s="153"/>
      <c r="V55" s="153"/>
      <c r="W55" s="196"/>
      <c r="X55" s="337"/>
      <c r="Y55" s="337"/>
      <c r="Z55" s="337"/>
      <c r="AA55" s="337"/>
      <c r="AB55" s="337"/>
      <c r="AC55" s="153"/>
      <c r="AD55" s="206"/>
    </row>
    <row r="56" spans="1:30" ht="24">
      <c r="A56" s="95">
        <f aca="true" t="shared" si="6" ref="A56:A63">A55+1</f>
        <v>2</v>
      </c>
      <c r="C56" s="293">
        <v>37368</v>
      </c>
      <c r="D56" s="304" t="s">
        <v>344</v>
      </c>
      <c r="E56" s="305" t="s">
        <v>253</v>
      </c>
      <c r="F56" s="295" t="s">
        <v>125</v>
      </c>
      <c r="G56" s="307">
        <f>300000/6*5</f>
        <v>250000</v>
      </c>
      <c r="H56" s="142"/>
      <c r="I56" s="161">
        <f t="shared" si="5"/>
        <v>0</v>
      </c>
      <c r="J56" s="153"/>
      <c r="K56" s="153"/>
      <c r="L56" s="153"/>
      <c r="M56" s="153"/>
      <c r="N56" s="153"/>
      <c r="O56" s="153"/>
      <c r="P56" s="153"/>
      <c r="Q56" s="153"/>
      <c r="S56" s="153"/>
      <c r="T56" s="153"/>
      <c r="U56" s="153"/>
      <c r="V56" s="153"/>
      <c r="W56" s="196"/>
      <c r="X56" s="337"/>
      <c r="Y56" s="337"/>
      <c r="Z56" s="337"/>
      <c r="AA56" s="337"/>
      <c r="AB56" s="337"/>
      <c r="AC56" s="153"/>
      <c r="AD56" s="206"/>
    </row>
    <row r="57" spans="1:30" ht="12.75">
      <c r="A57" s="95">
        <f t="shared" si="6"/>
        <v>3</v>
      </c>
      <c r="C57" s="293">
        <v>37368</v>
      </c>
      <c r="D57" s="304" t="s">
        <v>304</v>
      </c>
      <c r="E57" s="305" t="s">
        <v>44</v>
      </c>
      <c r="F57" s="316" t="s">
        <v>9</v>
      </c>
      <c r="G57" s="307">
        <f>4480/6*5</f>
        <v>3733.333333333333</v>
      </c>
      <c r="H57" s="142"/>
      <c r="I57" s="161">
        <f t="shared" si="5"/>
        <v>0</v>
      </c>
      <c r="J57" s="153"/>
      <c r="K57" s="153"/>
      <c r="L57" s="121"/>
      <c r="M57" s="153"/>
      <c r="N57" s="153"/>
      <c r="O57" s="153"/>
      <c r="P57" s="153"/>
      <c r="Q57" s="153"/>
      <c r="S57" s="153"/>
      <c r="T57" s="153"/>
      <c r="U57" s="153"/>
      <c r="V57" s="153"/>
      <c r="W57" s="196"/>
      <c r="X57" s="337"/>
      <c r="Y57" s="337"/>
      <c r="Z57" s="337"/>
      <c r="AA57" s="337"/>
      <c r="AB57" s="337"/>
      <c r="AC57" s="153"/>
      <c r="AD57" s="206"/>
    </row>
    <row r="58" spans="1:30" ht="12.75">
      <c r="A58" s="95">
        <f t="shared" si="6"/>
        <v>4</v>
      </c>
      <c r="C58" s="293">
        <v>37392</v>
      </c>
      <c r="D58" s="305" t="s">
        <v>71</v>
      </c>
      <c r="E58" s="305" t="s">
        <v>71</v>
      </c>
      <c r="F58" s="295" t="s">
        <v>8</v>
      </c>
      <c r="G58" s="307"/>
      <c r="H58" s="142"/>
      <c r="I58" s="161">
        <f t="shared" si="5"/>
        <v>0</v>
      </c>
      <c r="J58" s="153"/>
      <c r="K58" s="153"/>
      <c r="L58" s="153"/>
      <c r="M58" s="153"/>
      <c r="N58" s="153"/>
      <c r="O58" s="153"/>
      <c r="P58" s="153"/>
      <c r="Q58" s="153"/>
      <c r="S58" s="153"/>
      <c r="T58" s="153"/>
      <c r="U58" s="153"/>
      <c r="V58" s="153"/>
      <c r="W58" s="196"/>
      <c r="X58" s="337"/>
      <c r="Y58" s="337"/>
      <c r="Z58" s="337"/>
      <c r="AA58" s="337"/>
      <c r="AB58" s="337"/>
      <c r="AC58" s="153"/>
      <c r="AD58" s="206"/>
    </row>
    <row r="59" spans="1:30" ht="12.75">
      <c r="A59" s="95">
        <f t="shared" si="6"/>
        <v>5</v>
      </c>
      <c r="C59" s="293">
        <v>37392</v>
      </c>
      <c r="D59" s="304" t="s">
        <v>46</v>
      </c>
      <c r="E59" s="305" t="s">
        <v>45</v>
      </c>
      <c r="F59" s="295" t="s">
        <v>10</v>
      </c>
      <c r="G59" s="307"/>
      <c r="H59" s="142"/>
      <c r="I59" s="161">
        <f t="shared" si="5"/>
        <v>0</v>
      </c>
      <c r="J59" s="153"/>
      <c r="K59" s="153"/>
      <c r="L59" s="153"/>
      <c r="M59" s="153"/>
      <c r="N59" s="153"/>
      <c r="O59" s="153"/>
      <c r="P59" s="153"/>
      <c r="Q59" s="153"/>
      <c r="S59" s="153"/>
      <c r="T59" s="153"/>
      <c r="U59" s="153"/>
      <c r="V59" s="153"/>
      <c r="W59" s="196"/>
      <c r="X59" s="337"/>
      <c r="Y59" s="337"/>
      <c r="Z59" s="337"/>
      <c r="AA59" s="337"/>
      <c r="AB59" s="337"/>
      <c r="AC59" s="153"/>
      <c r="AD59" s="206"/>
    </row>
    <row r="60" spans="1:30" ht="12.75">
      <c r="A60" s="95">
        <f t="shared" si="6"/>
        <v>6</v>
      </c>
      <c r="C60" s="293">
        <v>37396</v>
      </c>
      <c r="D60" s="305" t="s">
        <v>360</v>
      </c>
      <c r="E60" s="305" t="s">
        <v>361</v>
      </c>
      <c r="F60" s="295" t="s">
        <v>8</v>
      </c>
      <c r="G60" s="307">
        <v>0</v>
      </c>
      <c r="H60" s="149"/>
      <c r="I60" s="161">
        <f t="shared" si="5"/>
        <v>0</v>
      </c>
      <c r="J60" s="153"/>
      <c r="K60" s="153"/>
      <c r="L60" s="153"/>
      <c r="M60" s="153"/>
      <c r="N60" s="153"/>
      <c r="O60" s="153"/>
      <c r="P60" s="153"/>
      <c r="Q60" s="153"/>
      <c r="S60" s="153"/>
      <c r="T60" s="153"/>
      <c r="U60" s="153"/>
      <c r="V60" s="153"/>
      <c r="W60" s="196"/>
      <c r="X60" s="337"/>
      <c r="Y60" s="337"/>
      <c r="Z60" s="337"/>
      <c r="AA60" s="337"/>
      <c r="AB60" s="337"/>
      <c r="AC60" s="153"/>
      <c r="AD60" s="206"/>
    </row>
    <row r="61" spans="1:30" ht="12.75">
      <c r="A61" s="95">
        <f t="shared" si="6"/>
        <v>7</v>
      </c>
      <c r="C61" s="293">
        <v>37396</v>
      </c>
      <c r="D61" s="305" t="s">
        <v>421</v>
      </c>
      <c r="E61" s="305" t="s">
        <v>260</v>
      </c>
      <c r="F61" s="295" t="s">
        <v>8</v>
      </c>
      <c r="G61" s="307">
        <f>192*12</f>
        <v>2304</v>
      </c>
      <c r="H61" s="142"/>
      <c r="I61" s="161">
        <f t="shared" si="5"/>
        <v>0</v>
      </c>
      <c r="J61" s="153"/>
      <c r="K61" s="153"/>
      <c r="L61" s="153"/>
      <c r="M61" s="153"/>
      <c r="N61" s="153"/>
      <c r="O61" s="153"/>
      <c r="P61" s="153"/>
      <c r="Q61" s="153"/>
      <c r="S61" s="153"/>
      <c r="T61" s="153"/>
      <c r="U61" s="153"/>
      <c r="V61" s="153"/>
      <c r="W61" s="196"/>
      <c r="X61" s="337"/>
      <c r="Y61" s="337"/>
      <c r="Z61" s="337"/>
      <c r="AA61" s="337"/>
      <c r="AB61" s="337"/>
      <c r="AC61" s="153"/>
      <c r="AD61" s="206"/>
    </row>
    <row r="62" spans="1:30" ht="12.75">
      <c r="A62" s="95">
        <f t="shared" si="6"/>
        <v>8</v>
      </c>
      <c r="C62" s="293">
        <v>37407</v>
      </c>
      <c r="D62" s="308" t="s">
        <v>285</v>
      </c>
      <c r="E62" s="305" t="s">
        <v>89</v>
      </c>
      <c r="F62" s="295" t="s">
        <v>8</v>
      </c>
      <c r="G62" s="307">
        <v>0</v>
      </c>
      <c r="H62" s="142"/>
      <c r="I62" s="161">
        <f t="shared" si="5"/>
        <v>0</v>
      </c>
      <c r="J62" s="153"/>
      <c r="K62" s="153"/>
      <c r="L62" s="153"/>
      <c r="M62" s="153"/>
      <c r="N62" s="153"/>
      <c r="O62" s="153"/>
      <c r="P62" s="153"/>
      <c r="Q62" s="153"/>
      <c r="S62" s="153"/>
      <c r="T62" s="153"/>
      <c r="U62" s="153"/>
      <c r="V62" s="153"/>
      <c r="W62" s="196"/>
      <c r="X62" s="337"/>
      <c r="Y62" s="337"/>
      <c r="Z62" s="337"/>
      <c r="AA62" s="337"/>
      <c r="AB62" s="337"/>
      <c r="AC62" s="153"/>
      <c r="AD62" s="206"/>
    </row>
    <row r="63" spans="1:30" ht="12.75">
      <c r="A63" s="95">
        <f t="shared" si="6"/>
        <v>9</v>
      </c>
      <c r="C63" s="293">
        <v>37414</v>
      </c>
      <c r="D63" s="305" t="s">
        <v>285</v>
      </c>
      <c r="E63" s="305" t="s">
        <v>89</v>
      </c>
      <c r="F63" s="295" t="s">
        <v>8</v>
      </c>
      <c r="G63" s="307">
        <v>13500</v>
      </c>
      <c r="H63" s="142"/>
      <c r="I63" s="161">
        <f t="shared" si="5"/>
        <v>0</v>
      </c>
      <c r="J63" s="153"/>
      <c r="K63" s="153"/>
      <c r="L63" s="153"/>
      <c r="M63" s="153"/>
      <c r="N63" s="153"/>
      <c r="O63" s="196"/>
      <c r="P63" s="153"/>
      <c r="Q63" s="153"/>
      <c r="S63" s="153"/>
      <c r="T63" s="153"/>
      <c r="U63" s="153"/>
      <c r="V63" s="153"/>
      <c r="W63" s="196"/>
      <c r="X63" s="337"/>
      <c r="Y63" s="337"/>
      <c r="Z63" s="337"/>
      <c r="AA63" s="337"/>
      <c r="AB63" s="337"/>
      <c r="AC63" s="153"/>
      <c r="AD63" s="206"/>
    </row>
    <row r="64" spans="1:30" ht="24">
      <c r="A64" s="95">
        <f aca="true" t="shared" si="7" ref="A64:A69">A63+1</f>
        <v>10</v>
      </c>
      <c r="C64" s="293">
        <v>37396</v>
      </c>
      <c r="D64" s="308" t="s">
        <v>306</v>
      </c>
      <c r="E64" s="305" t="s">
        <v>95</v>
      </c>
      <c r="F64" s="295" t="s">
        <v>22</v>
      </c>
      <c r="G64" s="307">
        <v>75000</v>
      </c>
      <c r="H64" s="142"/>
      <c r="I64" s="161">
        <f t="shared" si="5"/>
        <v>0</v>
      </c>
      <c r="J64" s="153"/>
      <c r="K64" s="153"/>
      <c r="L64" s="153"/>
      <c r="M64" s="153"/>
      <c r="N64" s="153"/>
      <c r="O64" s="153"/>
      <c r="P64" s="153"/>
      <c r="Q64" s="153"/>
      <c r="S64" s="153"/>
      <c r="T64" s="153"/>
      <c r="U64" s="153"/>
      <c r="V64" s="153"/>
      <c r="W64" s="196"/>
      <c r="X64" s="337"/>
      <c r="Y64" s="337"/>
      <c r="Z64" s="337"/>
      <c r="AA64" s="337"/>
      <c r="AB64" s="337"/>
      <c r="AC64" s="153"/>
      <c r="AD64" s="206"/>
    </row>
    <row r="65" spans="1:30" ht="24">
      <c r="A65" s="95">
        <f t="shared" si="7"/>
        <v>11</v>
      </c>
      <c r="C65" s="293">
        <v>37449</v>
      </c>
      <c r="D65" s="308" t="s">
        <v>341</v>
      </c>
      <c r="E65" s="305" t="s">
        <v>17</v>
      </c>
      <c r="F65" s="295" t="s">
        <v>197</v>
      </c>
      <c r="G65" s="317">
        <v>20834</v>
      </c>
      <c r="H65" s="142"/>
      <c r="I65" s="161">
        <f>SUM(J65:AC65)</f>
        <v>0</v>
      </c>
      <c r="J65" s="153"/>
      <c r="K65" s="153"/>
      <c r="L65" s="153"/>
      <c r="M65" s="153"/>
      <c r="N65" s="153"/>
      <c r="O65" s="153"/>
      <c r="Q65" s="196"/>
      <c r="S65" s="153"/>
      <c r="T65" s="153"/>
      <c r="U65" s="153"/>
      <c r="V65" s="153"/>
      <c r="W65" s="196"/>
      <c r="X65" s="337"/>
      <c r="Y65" s="337"/>
      <c r="Z65" s="337"/>
      <c r="AA65" s="337"/>
      <c r="AB65" s="337"/>
      <c r="AC65" s="153"/>
      <c r="AD65" s="206"/>
    </row>
    <row r="66" spans="1:30" ht="24">
      <c r="A66" s="95">
        <f t="shared" si="7"/>
        <v>12</v>
      </c>
      <c r="C66" s="293">
        <v>37449</v>
      </c>
      <c r="D66" s="308" t="s">
        <v>341</v>
      </c>
      <c r="E66" s="305" t="s">
        <v>265</v>
      </c>
      <c r="F66" s="295" t="s">
        <v>371</v>
      </c>
      <c r="G66" s="317">
        <v>30000</v>
      </c>
      <c r="H66" s="142"/>
      <c r="I66" s="161">
        <f>SUM(J66:AC66)</f>
        <v>0</v>
      </c>
      <c r="J66" s="153"/>
      <c r="K66" s="153"/>
      <c r="L66" s="153"/>
      <c r="M66" s="153"/>
      <c r="N66" s="153"/>
      <c r="O66" s="153"/>
      <c r="Q66" s="153"/>
      <c r="S66" s="153"/>
      <c r="T66" s="153"/>
      <c r="U66" s="153"/>
      <c r="V66" s="153"/>
      <c r="W66" s="196"/>
      <c r="X66" s="337"/>
      <c r="Y66" s="337"/>
      <c r="Z66" s="337"/>
      <c r="AA66" s="337"/>
      <c r="AB66" s="337"/>
      <c r="AC66" s="153"/>
      <c r="AD66" s="206"/>
    </row>
    <row r="67" spans="1:30" ht="24">
      <c r="A67" s="95">
        <f t="shared" si="7"/>
        <v>13</v>
      </c>
      <c r="C67" s="293">
        <v>37449</v>
      </c>
      <c r="D67" s="294" t="s">
        <v>307</v>
      </c>
      <c r="E67" s="305" t="s">
        <v>47</v>
      </c>
      <c r="F67" s="295" t="s">
        <v>197</v>
      </c>
      <c r="G67" s="318">
        <v>3916</v>
      </c>
      <c r="H67" s="142"/>
      <c r="I67" s="161">
        <f>SUM(J67:AC67)</f>
        <v>0</v>
      </c>
      <c r="J67" s="153"/>
      <c r="K67" s="153"/>
      <c r="L67" s="153"/>
      <c r="M67" s="153"/>
      <c r="O67" s="196"/>
      <c r="R67" s="37"/>
      <c r="S67" s="153"/>
      <c r="T67" s="153"/>
      <c r="U67" s="153"/>
      <c r="W67" s="196"/>
      <c r="X67" s="337"/>
      <c r="Y67" s="337"/>
      <c r="Z67" s="337"/>
      <c r="AA67" s="337"/>
      <c r="AB67" s="337"/>
      <c r="AC67" s="153"/>
      <c r="AD67" s="206"/>
    </row>
    <row r="68" spans="1:30" ht="12.75">
      <c r="A68" s="95">
        <f t="shared" si="7"/>
        <v>14</v>
      </c>
      <c r="C68" s="293">
        <v>37496</v>
      </c>
      <c r="D68" s="294" t="s">
        <v>308</v>
      </c>
      <c r="E68" s="305" t="s">
        <v>123</v>
      </c>
      <c r="F68" s="295" t="s">
        <v>405</v>
      </c>
      <c r="G68" s="319">
        <v>30000</v>
      </c>
      <c r="H68" s="142"/>
      <c r="I68" s="161">
        <f>SUM(J68:AC68)</f>
        <v>0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96"/>
      <c r="X68" s="337"/>
      <c r="Y68" s="337"/>
      <c r="Z68" s="337"/>
      <c r="AA68" s="337"/>
      <c r="AB68" s="337"/>
      <c r="AC68" s="153"/>
      <c r="AD68" s="206"/>
    </row>
    <row r="69" spans="1:30" ht="24">
      <c r="A69" s="95">
        <f t="shared" si="7"/>
        <v>15</v>
      </c>
      <c r="C69" s="293">
        <v>37529</v>
      </c>
      <c r="D69" s="294" t="s">
        <v>357</v>
      </c>
      <c r="E69" s="305" t="s">
        <v>296</v>
      </c>
      <c r="F69" s="243" t="s">
        <v>10</v>
      </c>
      <c r="G69" s="296">
        <v>8000</v>
      </c>
      <c r="H69" s="142"/>
      <c r="I69" s="161">
        <f>SUM(J69:AC69)</f>
        <v>0</v>
      </c>
      <c r="J69" s="153"/>
      <c r="K69" s="153"/>
      <c r="L69" s="153"/>
      <c r="M69" s="153"/>
      <c r="N69" s="153"/>
      <c r="O69" s="153"/>
      <c r="P69" s="153"/>
      <c r="U69" s="153"/>
      <c r="V69" s="37"/>
      <c r="W69" s="196"/>
      <c r="X69" s="337"/>
      <c r="Y69" s="337"/>
      <c r="Z69" s="337"/>
      <c r="AA69" s="337"/>
      <c r="AB69" s="337"/>
      <c r="AC69" s="153"/>
      <c r="AD69" s="206"/>
    </row>
    <row r="70" spans="7:30" ht="12.75">
      <c r="G70" s="312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206"/>
    </row>
    <row r="71" spans="7:30" ht="12.75">
      <c r="G71" s="299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206"/>
    </row>
    <row r="72" spans="7:30" ht="12.75">
      <c r="G72" s="299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206"/>
    </row>
    <row r="73" spans="7:30" ht="12.75">
      <c r="G73" s="299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206"/>
    </row>
    <row r="74" spans="7:30" ht="12.75">
      <c r="G74" s="299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206"/>
    </row>
    <row r="75" spans="7:30" ht="12.75">
      <c r="G75" s="299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206"/>
    </row>
    <row r="76" spans="7:30" ht="12.75">
      <c r="G76" s="299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206"/>
    </row>
    <row r="77" spans="7:30" ht="12.75">
      <c r="G77" s="299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206"/>
    </row>
    <row r="78" spans="7:30" ht="12.75">
      <c r="G78" s="299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206"/>
    </row>
    <row r="79" spans="7:30" ht="12.75">
      <c r="G79" s="299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206"/>
    </row>
    <row r="80" spans="7:30" ht="12.75">
      <c r="G80" s="299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206"/>
    </row>
    <row r="81" spans="7:30" ht="12.75">
      <c r="G81" s="299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206"/>
    </row>
    <row r="82" spans="7:30" ht="12.75">
      <c r="G82" s="299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206"/>
    </row>
    <row r="83" spans="7:30" ht="12.75">
      <c r="G83" s="299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206"/>
    </row>
    <row r="84" spans="7:30" ht="12.75">
      <c r="G84" s="299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206"/>
    </row>
    <row r="85" spans="7:30" ht="12.75">
      <c r="G85" s="299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206"/>
    </row>
    <row r="86" spans="7:30" ht="12.75">
      <c r="G86" s="299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206"/>
    </row>
    <row r="87" spans="7:30" ht="12.75">
      <c r="G87" s="299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206"/>
    </row>
    <row r="88" spans="7:30" ht="12.75">
      <c r="G88" s="299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206"/>
    </row>
    <row r="89" spans="7:30" ht="12.75">
      <c r="G89" s="299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206"/>
    </row>
    <row r="90" spans="7:30" ht="12.75">
      <c r="G90" s="299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206"/>
    </row>
    <row r="91" spans="7:30" ht="12.75">
      <c r="G91" s="299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206"/>
    </row>
    <row r="92" spans="7:30" ht="12.75">
      <c r="G92" s="299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206"/>
    </row>
    <row r="93" spans="7:30" ht="12.75">
      <c r="G93" s="299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206"/>
    </row>
    <row r="94" spans="7:30" ht="12.75">
      <c r="G94" s="299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206"/>
    </row>
    <row r="95" spans="7:30" ht="12.75">
      <c r="G95" s="299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206"/>
    </row>
    <row r="96" spans="7:30" ht="12.75">
      <c r="G96" s="299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206"/>
    </row>
    <row r="97" spans="7:30" ht="12.75">
      <c r="G97" s="299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206"/>
    </row>
    <row r="98" spans="7:30" ht="12.75">
      <c r="G98" s="299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206"/>
    </row>
    <row r="99" spans="7:30" ht="12.75">
      <c r="G99" s="299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206"/>
    </row>
    <row r="100" spans="7:30" ht="12.75">
      <c r="G100" s="299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206"/>
    </row>
    <row r="101" spans="7:30" ht="12.75">
      <c r="G101" s="299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206"/>
    </row>
    <row r="102" spans="7:30" ht="12.75">
      <c r="G102" s="299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206"/>
    </row>
    <row r="103" spans="7:30" ht="12.75">
      <c r="G103" s="299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206"/>
    </row>
    <row r="104" spans="7:30" ht="12.75">
      <c r="G104" s="299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206"/>
    </row>
    <row r="105" spans="7:30" ht="12.75">
      <c r="G105" s="299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206"/>
    </row>
    <row r="106" spans="7:30" ht="12.75">
      <c r="G106" s="299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206"/>
    </row>
    <row r="107" spans="7:30" ht="12.75">
      <c r="G107" s="299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206"/>
    </row>
    <row r="108" spans="7:30" ht="12.75">
      <c r="G108" s="299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206"/>
    </row>
    <row r="109" spans="7:30" ht="12.75">
      <c r="G109" s="299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206"/>
    </row>
    <row r="110" spans="7:30" ht="12.75">
      <c r="G110" s="299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206"/>
    </row>
    <row r="111" spans="7:30" ht="12.75">
      <c r="G111" s="299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206"/>
    </row>
    <row r="112" spans="7:30" ht="12.75">
      <c r="G112" s="299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206"/>
    </row>
    <row r="113" spans="7:30" ht="12.75">
      <c r="G113" s="299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206"/>
    </row>
    <row r="114" spans="7:30" ht="12.75">
      <c r="G114" s="299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206"/>
    </row>
    <row r="115" spans="7:30" ht="12.75">
      <c r="G115" s="299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206"/>
    </row>
    <row r="116" spans="7:30" ht="12.75">
      <c r="G116" s="299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206"/>
    </row>
    <row r="117" spans="7:30" ht="12.75">
      <c r="G117" s="299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206"/>
    </row>
    <row r="118" spans="7:30" ht="12.75">
      <c r="G118" s="299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206"/>
    </row>
    <row r="119" spans="7:30" ht="12.75">
      <c r="G119" s="299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206"/>
    </row>
    <row r="120" spans="7:30" ht="12.75">
      <c r="G120" s="299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206"/>
    </row>
    <row r="121" spans="7:30" ht="12.75">
      <c r="G121" s="299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206"/>
    </row>
    <row r="122" spans="7:30" ht="12.75">
      <c r="G122" s="299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206"/>
    </row>
    <row r="123" spans="7:30" ht="12.75">
      <c r="G123" s="299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206"/>
    </row>
    <row r="124" spans="7:30" ht="12.75">
      <c r="G124" s="299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206"/>
    </row>
    <row r="125" spans="7:30" ht="12.75">
      <c r="G125" s="299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206"/>
    </row>
    <row r="126" spans="7:30" ht="12.75">
      <c r="G126" s="299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206"/>
    </row>
    <row r="127" spans="7:30" ht="12.75">
      <c r="G127" s="299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206"/>
    </row>
    <row r="128" spans="7:30" ht="12.75">
      <c r="G128" s="299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206"/>
    </row>
    <row r="129" spans="7:30" ht="12.75">
      <c r="G129" s="299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206"/>
    </row>
    <row r="130" spans="7:30" ht="12.75">
      <c r="G130" s="299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206"/>
    </row>
    <row r="131" spans="7:30" ht="12.75">
      <c r="G131" s="299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206"/>
    </row>
    <row r="132" spans="7:30" ht="12.75">
      <c r="G132" s="299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206"/>
    </row>
    <row r="133" spans="7:30" ht="12.75">
      <c r="G133" s="299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206"/>
    </row>
    <row r="134" spans="7:30" ht="12.75">
      <c r="G134" s="299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206"/>
    </row>
    <row r="135" spans="7:30" ht="12.75">
      <c r="G135" s="299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206"/>
    </row>
    <row r="136" spans="7:30" ht="12.75">
      <c r="G136" s="299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206"/>
    </row>
    <row r="137" spans="7:30" ht="12.75">
      <c r="G137" s="299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206"/>
    </row>
    <row r="138" spans="7:30" ht="12.75">
      <c r="G138" s="299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206"/>
    </row>
    <row r="139" spans="7:30" ht="12.75">
      <c r="G139" s="299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206"/>
    </row>
    <row r="140" spans="7:30" ht="12.75">
      <c r="G140" s="299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206"/>
    </row>
    <row r="141" spans="7:30" ht="12.75">
      <c r="G141" s="299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206"/>
    </row>
    <row r="142" spans="7:30" ht="12.75">
      <c r="G142" s="299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206"/>
    </row>
    <row r="143" spans="7:30" ht="12.75">
      <c r="G143" s="299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206"/>
    </row>
    <row r="144" spans="7:30" ht="12.75">
      <c r="G144" s="299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206"/>
    </row>
    <row r="145" spans="7:30" ht="12.75">
      <c r="G145" s="299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206"/>
    </row>
    <row r="146" ht="12.75">
      <c r="G146" s="299"/>
    </row>
    <row r="147" ht="12.75">
      <c r="G147" s="299"/>
    </row>
    <row r="148" ht="12.75">
      <c r="G148" s="299"/>
    </row>
    <row r="149" ht="12.75">
      <c r="G149" s="299"/>
    </row>
    <row r="150" ht="12.75">
      <c r="G150" s="299"/>
    </row>
    <row r="151" ht="12.75">
      <c r="G151" s="299"/>
    </row>
    <row r="152" ht="12.75">
      <c r="G152" s="299"/>
    </row>
    <row r="153" ht="12.75">
      <c r="G153" s="299"/>
    </row>
    <row r="154" ht="12.75">
      <c r="G154" s="299"/>
    </row>
    <row r="155" ht="12.75">
      <c r="G155" s="299"/>
    </row>
    <row r="156" ht="12.75">
      <c r="G156" s="299"/>
    </row>
    <row r="157" ht="12.75">
      <c r="G157" s="299"/>
    </row>
    <row r="158" ht="12.75">
      <c r="G158" s="299"/>
    </row>
    <row r="159" ht="12.75">
      <c r="G159" s="299"/>
    </row>
    <row r="160" ht="12.75">
      <c r="G160" s="299"/>
    </row>
    <row r="161" ht="12.75">
      <c r="G161" s="299"/>
    </row>
    <row r="162" ht="12.75">
      <c r="G162" s="299"/>
    </row>
    <row r="163" ht="12.75">
      <c r="G163" s="299"/>
    </row>
    <row r="164" ht="12.75">
      <c r="G164" s="299"/>
    </row>
    <row r="165" ht="12.75">
      <c r="G165" s="299"/>
    </row>
    <row r="166" ht="12.75">
      <c r="G166" s="299"/>
    </row>
    <row r="167" ht="12.75">
      <c r="G167" s="299"/>
    </row>
    <row r="168" ht="12.75">
      <c r="G168" s="299"/>
    </row>
    <row r="169" ht="12.75">
      <c r="G169" s="299"/>
    </row>
    <row r="170" ht="12.75">
      <c r="G170" s="299"/>
    </row>
    <row r="171" ht="12.75">
      <c r="G171" s="299"/>
    </row>
    <row r="172" ht="12.75">
      <c r="G172" s="299"/>
    </row>
    <row r="173" ht="12.75">
      <c r="G173" s="299"/>
    </row>
    <row r="174" ht="12.75">
      <c r="G174" s="299"/>
    </row>
    <row r="175" ht="12.75">
      <c r="G175" s="299"/>
    </row>
    <row r="176" ht="12.75">
      <c r="G176" s="299"/>
    </row>
    <row r="177" ht="12.75">
      <c r="G177" s="299"/>
    </row>
    <row r="178" ht="12.75">
      <c r="G178" s="299"/>
    </row>
    <row r="179" ht="12.75">
      <c r="G179" s="299"/>
    </row>
    <row r="180" ht="12.75">
      <c r="G180" s="299"/>
    </row>
    <row r="181" ht="12.75">
      <c r="G181" s="299"/>
    </row>
    <row r="182" ht="12.75">
      <c r="G182" s="299"/>
    </row>
    <row r="183" ht="12.75">
      <c r="G183" s="299"/>
    </row>
    <row r="184" ht="12.75">
      <c r="G184" s="299"/>
    </row>
    <row r="185" ht="12.75">
      <c r="G185" s="299"/>
    </row>
    <row r="186" ht="12.75">
      <c r="G186" s="299"/>
    </row>
    <row r="187" ht="12.75">
      <c r="G187" s="299"/>
    </row>
    <row r="188" ht="12.75">
      <c r="G188" s="299"/>
    </row>
    <row r="189" ht="12.75">
      <c r="G189" s="299"/>
    </row>
    <row r="190" ht="12.75">
      <c r="G190" s="299"/>
    </row>
    <row r="191" ht="12.75">
      <c r="G191" s="299"/>
    </row>
    <row r="192" ht="12.75">
      <c r="G192" s="299"/>
    </row>
    <row r="193" ht="12.75">
      <c r="G193" s="299"/>
    </row>
    <row r="194" ht="12.75">
      <c r="G194" s="299"/>
    </row>
    <row r="195" ht="12.75">
      <c r="G195" s="299"/>
    </row>
    <row r="196" ht="12.75">
      <c r="G196" s="299"/>
    </row>
    <row r="197" ht="12.75">
      <c r="G197" s="299"/>
    </row>
    <row r="198" ht="12.75">
      <c r="G198" s="299"/>
    </row>
    <row r="199" ht="12.75">
      <c r="G199" s="299"/>
    </row>
    <row r="200" ht="12.75">
      <c r="G200" s="299"/>
    </row>
    <row r="201" ht="12.75">
      <c r="G201" s="299"/>
    </row>
    <row r="202" ht="12.75">
      <c r="G202" s="299"/>
    </row>
    <row r="203" ht="12.75">
      <c r="G203" s="299"/>
    </row>
    <row r="204" ht="12.75">
      <c r="G204" s="299"/>
    </row>
    <row r="205" ht="12.75">
      <c r="G205" s="299"/>
    </row>
    <row r="206" ht="12.75">
      <c r="G206" s="299"/>
    </row>
    <row r="207" ht="12.75">
      <c r="G207" s="299"/>
    </row>
    <row r="208" ht="12.75">
      <c r="G208" s="299"/>
    </row>
    <row r="209" ht="12.75">
      <c r="G209" s="299"/>
    </row>
    <row r="210" ht="12.75">
      <c r="G210" s="299"/>
    </row>
    <row r="211" ht="12.75">
      <c r="G211" s="299"/>
    </row>
    <row r="212" ht="12.75">
      <c r="G212" s="299"/>
    </row>
    <row r="213" ht="12.75">
      <c r="G213" s="299"/>
    </row>
    <row r="214" ht="12.75">
      <c r="G214" s="299"/>
    </row>
    <row r="215" ht="12.75">
      <c r="G215" s="299"/>
    </row>
    <row r="216" ht="12.75">
      <c r="G216" s="299"/>
    </row>
    <row r="217" ht="12.75">
      <c r="G217" s="299"/>
    </row>
    <row r="218" ht="12.75">
      <c r="G218" s="299"/>
    </row>
    <row r="219" ht="12.75">
      <c r="G219" s="299"/>
    </row>
    <row r="220" ht="12.75">
      <c r="G220" s="299"/>
    </row>
    <row r="221" ht="12.75">
      <c r="G221" s="299"/>
    </row>
    <row r="222" ht="12.75">
      <c r="G222" s="299"/>
    </row>
    <row r="223" ht="12.75">
      <c r="G223" s="299"/>
    </row>
    <row r="224" ht="12.75">
      <c r="G224" s="299"/>
    </row>
    <row r="225" ht="12.75">
      <c r="G225" s="299"/>
    </row>
    <row r="226" ht="12.75">
      <c r="G226" s="299"/>
    </row>
    <row r="227" ht="12.75">
      <c r="G227" s="299"/>
    </row>
    <row r="228" ht="12.75">
      <c r="G228" s="299"/>
    </row>
    <row r="229" ht="12.75">
      <c r="G229" s="299"/>
    </row>
    <row r="230" ht="12.75">
      <c r="G230" s="299"/>
    </row>
    <row r="231" ht="12.75">
      <c r="G231" s="299"/>
    </row>
    <row r="232" ht="12.75">
      <c r="G232" s="299"/>
    </row>
    <row r="233" ht="12.75">
      <c r="G233" s="299"/>
    </row>
    <row r="234" ht="12.75">
      <c r="G234" s="299"/>
    </row>
    <row r="235" ht="12.75">
      <c r="G235" s="299"/>
    </row>
    <row r="236" ht="12.75">
      <c r="G236" s="299"/>
    </row>
    <row r="237" ht="12.75">
      <c r="G237" s="299"/>
    </row>
    <row r="238" ht="12.75">
      <c r="G238" s="299"/>
    </row>
    <row r="239" ht="12.75">
      <c r="G239" s="299"/>
    </row>
    <row r="240" ht="12.75">
      <c r="G240" s="299"/>
    </row>
    <row r="241" ht="12.75">
      <c r="G241" s="299"/>
    </row>
    <row r="242" ht="12.75">
      <c r="G242" s="299"/>
    </row>
    <row r="243" ht="12.75">
      <c r="G243" s="299"/>
    </row>
    <row r="244" ht="12.75">
      <c r="G244" s="299"/>
    </row>
    <row r="245" ht="12.75">
      <c r="G245" s="299"/>
    </row>
    <row r="246" ht="12.75">
      <c r="G246" s="299"/>
    </row>
    <row r="247" ht="12.75">
      <c r="G247" s="299"/>
    </row>
    <row r="248" ht="12.75">
      <c r="G248" s="299"/>
    </row>
    <row r="249" ht="12.75">
      <c r="G249" s="299"/>
    </row>
    <row r="250" ht="12.75">
      <c r="G250" s="299"/>
    </row>
    <row r="251" ht="12.75">
      <c r="G251" s="299"/>
    </row>
    <row r="252" ht="12.75">
      <c r="G252" s="299"/>
    </row>
    <row r="253" ht="12.75">
      <c r="G253" s="299"/>
    </row>
    <row r="254" ht="12.75">
      <c r="G254" s="299"/>
    </row>
    <row r="255" ht="12.75">
      <c r="G255" s="299"/>
    </row>
    <row r="256" ht="12.75">
      <c r="G256" s="299"/>
    </row>
    <row r="257" ht="12.75">
      <c r="G257" s="299"/>
    </row>
    <row r="258" ht="12.75">
      <c r="G258" s="299"/>
    </row>
    <row r="259" ht="12.75">
      <c r="G259" s="299"/>
    </row>
    <row r="260" ht="12.75">
      <c r="G260" s="299"/>
    </row>
    <row r="261" ht="12.75">
      <c r="G261" s="299"/>
    </row>
    <row r="262" ht="12.75">
      <c r="G262" s="299"/>
    </row>
    <row r="263" ht="12.75">
      <c r="G263" s="299"/>
    </row>
    <row r="264" ht="12.75">
      <c r="G264" s="299"/>
    </row>
    <row r="265" ht="12.75">
      <c r="G265" s="299"/>
    </row>
    <row r="266" ht="12.75">
      <c r="G266" s="299"/>
    </row>
    <row r="267" ht="12.75">
      <c r="G267" s="299"/>
    </row>
    <row r="268" ht="12.75">
      <c r="G268" s="299"/>
    </row>
    <row r="269" ht="12.75">
      <c r="G269" s="299"/>
    </row>
    <row r="270" ht="12.75">
      <c r="G270" s="299"/>
    </row>
    <row r="271" ht="12.75">
      <c r="G271" s="299"/>
    </row>
    <row r="272" ht="12.75">
      <c r="G272" s="299"/>
    </row>
    <row r="273" ht="12.75">
      <c r="G273" s="299"/>
    </row>
    <row r="274" ht="12.75">
      <c r="G274" s="299"/>
    </row>
    <row r="275" ht="12.75">
      <c r="G275" s="299"/>
    </row>
    <row r="276" ht="12.75">
      <c r="G276" s="299"/>
    </row>
    <row r="277" ht="12.75">
      <c r="G277" s="299"/>
    </row>
    <row r="278" ht="12.75">
      <c r="G278" s="299"/>
    </row>
    <row r="279" ht="12.75">
      <c r="G279" s="299"/>
    </row>
    <row r="280" ht="12.75">
      <c r="G280" s="299"/>
    </row>
    <row r="281" ht="12.75">
      <c r="G281" s="299"/>
    </row>
    <row r="282" ht="12.75">
      <c r="G282" s="299"/>
    </row>
    <row r="283" ht="12.75">
      <c r="G283" s="299"/>
    </row>
    <row r="284" ht="12.75">
      <c r="G284" s="299"/>
    </row>
    <row r="285" ht="12.75">
      <c r="G285" s="299"/>
    </row>
    <row r="286" ht="12.75">
      <c r="G286" s="299"/>
    </row>
    <row r="287" ht="12.75">
      <c r="G287" s="299"/>
    </row>
    <row r="288" ht="12.75">
      <c r="G288" s="299"/>
    </row>
    <row r="289" ht="12.75">
      <c r="G289" s="299"/>
    </row>
    <row r="290" ht="12.75">
      <c r="G290" s="299"/>
    </row>
    <row r="291" ht="12.75">
      <c r="G291" s="299"/>
    </row>
    <row r="292" ht="12.75">
      <c r="G292" s="299"/>
    </row>
    <row r="293" ht="12.75">
      <c r="G293" s="299"/>
    </row>
    <row r="294" ht="12.75">
      <c r="G294" s="299"/>
    </row>
    <row r="295" ht="12.75">
      <c r="G295" s="299"/>
    </row>
    <row r="296" ht="12.75">
      <c r="G296" s="299"/>
    </row>
    <row r="297" ht="12.75">
      <c r="G297" s="299"/>
    </row>
    <row r="298" ht="12.75">
      <c r="G298" s="299"/>
    </row>
    <row r="299" ht="12.75">
      <c r="G299" s="299"/>
    </row>
    <row r="300" ht="12.75">
      <c r="G300" s="299"/>
    </row>
    <row r="301" ht="12.75">
      <c r="G301" s="299"/>
    </row>
    <row r="302" ht="12.75">
      <c r="G302" s="299"/>
    </row>
    <row r="303" ht="12.75">
      <c r="G303" s="299"/>
    </row>
    <row r="304" ht="12.75">
      <c r="G304" s="299"/>
    </row>
    <row r="305" ht="12.75">
      <c r="G305" s="299"/>
    </row>
    <row r="306" ht="12.75">
      <c r="G306" s="299"/>
    </row>
    <row r="307" ht="12.75">
      <c r="G307" s="299"/>
    </row>
    <row r="308" ht="12.75">
      <c r="G308" s="299"/>
    </row>
    <row r="309" ht="12.75">
      <c r="G309" s="299"/>
    </row>
    <row r="310" ht="12.75">
      <c r="G310" s="299"/>
    </row>
    <row r="311" ht="12.75">
      <c r="G311" s="299"/>
    </row>
    <row r="312" ht="12.75">
      <c r="G312" s="299"/>
    </row>
    <row r="313" ht="12.75">
      <c r="G313" s="299"/>
    </row>
    <row r="314" ht="12.75">
      <c r="G314" s="299"/>
    </row>
    <row r="315" ht="12.75">
      <c r="G315" s="299"/>
    </row>
    <row r="316" ht="12.75">
      <c r="G316" s="299"/>
    </row>
    <row r="317" ht="12.75">
      <c r="G317" s="299"/>
    </row>
    <row r="318" ht="12.75">
      <c r="G318" s="299"/>
    </row>
    <row r="319" ht="12.75">
      <c r="G319" s="299"/>
    </row>
    <row r="320" ht="12.75">
      <c r="G320" s="299"/>
    </row>
    <row r="321" ht="12.75">
      <c r="G321" s="299"/>
    </row>
    <row r="322" ht="12.75">
      <c r="G322" s="299"/>
    </row>
    <row r="323" ht="12.75">
      <c r="G323" s="299"/>
    </row>
    <row r="324" ht="12.75">
      <c r="G324" s="299"/>
    </row>
    <row r="325" ht="12.75">
      <c r="G325" s="299"/>
    </row>
    <row r="326" ht="12.75">
      <c r="G326" s="299"/>
    </row>
    <row r="327" ht="12.75">
      <c r="G327" s="299"/>
    </row>
    <row r="328" ht="12.75">
      <c r="G328" s="299"/>
    </row>
    <row r="329" ht="12.75">
      <c r="G329" s="299"/>
    </row>
    <row r="330" ht="12.75">
      <c r="G330" s="299"/>
    </row>
    <row r="331" ht="12.75">
      <c r="G331" s="299"/>
    </row>
    <row r="332" ht="12.75">
      <c r="G332" s="299"/>
    </row>
    <row r="333" ht="12.75">
      <c r="G333" s="299"/>
    </row>
    <row r="334" ht="12.75">
      <c r="G334" s="299"/>
    </row>
    <row r="335" ht="12.75">
      <c r="G335" s="299"/>
    </row>
    <row r="336" ht="12.75">
      <c r="G336" s="299"/>
    </row>
    <row r="337" ht="12.75">
      <c r="G337" s="299"/>
    </row>
    <row r="338" ht="12.75">
      <c r="G338" s="299"/>
    </row>
    <row r="339" ht="12.75">
      <c r="G339" s="299"/>
    </row>
    <row r="340" ht="12.75">
      <c r="G340" s="299"/>
    </row>
    <row r="341" ht="12.75">
      <c r="G341" s="299"/>
    </row>
    <row r="342" ht="12.75">
      <c r="G342" s="299"/>
    </row>
    <row r="343" ht="12.75">
      <c r="G343" s="299"/>
    </row>
    <row r="344" ht="12.75">
      <c r="G344" s="299"/>
    </row>
    <row r="345" ht="12.75">
      <c r="G345" s="299"/>
    </row>
    <row r="346" ht="12.75">
      <c r="G346" s="299"/>
    </row>
    <row r="347" ht="12.75">
      <c r="G347" s="299"/>
    </row>
    <row r="348" ht="12.75">
      <c r="G348" s="299"/>
    </row>
    <row r="349" ht="12.75">
      <c r="G349" s="299"/>
    </row>
    <row r="350" ht="12.75">
      <c r="G350" s="299"/>
    </row>
    <row r="351" ht="12.75">
      <c r="G351" s="299"/>
    </row>
    <row r="352" ht="12.75">
      <c r="G352" s="299"/>
    </row>
    <row r="353" ht="12.75">
      <c r="G353" s="299"/>
    </row>
    <row r="354" ht="12.75">
      <c r="G354" s="299"/>
    </row>
    <row r="355" ht="12.75">
      <c r="G355" s="299"/>
    </row>
    <row r="356" ht="12.75">
      <c r="G356" s="299"/>
    </row>
    <row r="357" ht="12.75">
      <c r="G357" s="299"/>
    </row>
    <row r="358" ht="12.75">
      <c r="G358" s="299"/>
    </row>
    <row r="359" ht="12.75">
      <c r="G359" s="299"/>
    </row>
    <row r="360" ht="12.75">
      <c r="G360" s="299"/>
    </row>
    <row r="361" ht="12.75">
      <c r="G361" s="299"/>
    </row>
    <row r="362" ht="12.75">
      <c r="G362" s="299"/>
    </row>
    <row r="363" ht="12.75">
      <c r="G363" s="299"/>
    </row>
    <row r="364" ht="12.75">
      <c r="G364" s="299"/>
    </row>
    <row r="365" ht="12.75">
      <c r="G365" s="299"/>
    </row>
    <row r="366" ht="12.75">
      <c r="G366" s="299"/>
    </row>
    <row r="367" ht="12.75">
      <c r="G367" s="299"/>
    </row>
    <row r="368" ht="12.75">
      <c r="G368" s="299"/>
    </row>
    <row r="369" ht="12.75">
      <c r="G369" s="299"/>
    </row>
    <row r="370" ht="12.75">
      <c r="G370" s="299"/>
    </row>
    <row r="371" ht="12.75">
      <c r="G371" s="299"/>
    </row>
    <row r="372" ht="12.75">
      <c r="G372" s="299"/>
    </row>
    <row r="373" ht="12.75">
      <c r="G373" s="299"/>
    </row>
    <row r="374" ht="12.75">
      <c r="G374" s="299"/>
    </row>
    <row r="375" ht="12.75">
      <c r="G375" s="299"/>
    </row>
    <row r="376" ht="12.75">
      <c r="G376" s="299"/>
    </row>
    <row r="377" ht="12.75">
      <c r="G377" s="299"/>
    </row>
    <row r="378" ht="12.75">
      <c r="G378" s="299"/>
    </row>
    <row r="379" ht="12.75">
      <c r="G379" s="299"/>
    </row>
    <row r="380" ht="12.75">
      <c r="G380" s="299"/>
    </row>
    <row r="381" ht="12.75">
      <c r="G381" s="299"/>
    </row>
    <row r="382" ht="12.75">
      <c r="G382" s="299"/>
    </row>
    <row r="383" ht="12.75">
      <c r="G383" s="299"/>
    </row>
    <row r="384" ht="12.75">
      <c r="G384" s="299"/>
    </row>
    <row r="385" ht="12.75">
      <c r="G385" s="299"/>
    </row>
    <row r="386" ht="12.75">
      <c r="G386" s="299"/>
    </row>
    <row r="387" ht="12.75">
      <c r="G387" s="299"/>
    </row>
    <row r="388" ht="12.75">
      <c r="G388" s="299"/>
    </row>
    <row r="389" ht="12.75">
      <c r="G389" s="299"/>
    </row>
    <row r="390" ht="12.75">
      <c r="G390" s="299"/>
    </row>
    <row r="391" ht="12.75">
      <c r="G391" s="299"/>
    </row>
    <row r="392" ht="12.75">
      <c r="G392" s="299"/>
    </row>
    <row r="393" ht="12.75">
      <c r="G393" s="299"/>
    </row>
    <row r="394" ht="12.75">
      <c r="G394" s="299"/>
    </row>
    <row r="395" ht="12.75">
      <c r="G395" s="299"/>
    </row>
    <row r="396" ht="12.75">
      <c r="G396" s="299"/>
    </row>
    <row r="397" ht="12.75">
      <c r="G397" s="299"/>
    </row>
    <row r="398" ht="12.75">
      <c r="G398" s="299"/>
    </row>
    <row r="399" ht="12.75">
      <c r="G399" s="299"/>
    </row>
    <row r="400" ht="12.75">
      <c r="G400" s="299"/>
    </row>
    <row r="401" ht="12.75">
      <c r="G401" s="299"/>
    </row>
    <row r="402" ht="12.75">
      <c r="G402" s="299"/>
    </row>
    <row r="403" ht="12.75">
      <c r="G403" s="299"/>
    </row>
    <row r="404" ht="12.75">
      <c r="G404" s="299"/>
    </row>
    <row r="405" ht="12.75">
      <c r="G405" s="299"/>
    </row>
    <row r="406" ht="12.75">
      <c r="G406" s="299"/>
    </row>
    <row r="407" ht="12.75">
      <c r="G407" s="299"/>
    </row>
    <row r="408" ht="12.75">
      <c r="G408" s="299"/>
    </row>
    <row r="409" ht="12.75">
      <c r="G409" s="299"/>
    </row>
    <row r="410" ht="12.75">
      <c r="G410" s="299"/>
    </row>
    <row r="411" ht="12.75">
      <c r="G411" s="299"/>
    </row>
    <row r="412" ht="12.75">
      <c r="G412" s="299"/>
    </row>
    <row r="413" ht="12.75">
      <c r="G413" s="299"/>
    </row>
    <row r="414" ht="12.75">
      <c r="G414" s="299"/>
    </row>
    <row r="415" ht="12.75">
      <c r="G415" s="299"/>
    </row>
    <row r="416" ht="12.75">
      <c r="G416" s="299"/>
    </row>
    <row r="417" ht="12.75">
      <c r="G417" s="299"/>
    </row>
    <row r="418" ht="12.75">
      <c r="G418" s="299"/>
    </row>
    <row r="419" ht="12.75">
      <c r="G419" s="299"/>
    </row>
    <row r="420" ht="12.75">
      <c r="G420" s="299"/>
    </row>
    <row r="421" ht="12.75">
      <c r="G421" s="299"/>
    </row>
    <row r="422" ht="12.75">
      <c r="G422" s="299"/>
    </row>
    <row r="423" ht="12.75">
      <c r="G423" s="299"/>
    </row>
    <row r="424" ht="12.75">
      <c r="G424" s="299"/>
    </row>
    <row r="425" ht="12.75">
      <c r="G425" s="299"/>
    </row>
    <row r="426" ht="12.75">
      <c r="G426" s="299"/>
    </row>
    <row r="427" ht="12.75">
      <c r="G427" s="299"/>
    </row>
    <row r="428" ht="12.75">
      <c r="G428" s="299"/>
    </row>
    <row r="429" ht="12.75">
      <c r="G429" s="299"/>
    </row>
    <row r="430" ht="12.75">
      <c r="G430" s="299"/>
    </row>
    <row r="431" ht="12.75">
      <c r="G431" s="299"/>
    </row>
    <row r="432" ht="12.75">
      <c r="G432" s="299"/>
    </row>
    <row r="433" ht="12.75">
      <c r="G433" s="299"/>
    </row>
    <row r="434" ht="12.75">
      <c r="G434" s="299"/>
    </row>
    <row r="435" ht="12.75">
      <c r="G435" s="299"/>
    </row>
    <row r="436" ht="12.75">
      <c r="G436" s="299"/>
    </row>
    <row r="437" ht="12.75">
      <c r="G437" s="299"/>
    </row>
    <row r="438" ht="12.75">
      <c r="G438" s="299"/>
    </row>
    <row r="439" ht="12.75">
      <c r="G439" s="299"/>
    </row>
    <row r="440" ht="12.75">
      <c r="G440" s="299"/>
    </row>
    <row r="441" ht="12.75">
      <c r="G441" s="299"/>
    </row>
    <row r="442" ht="12.75">
      <c r="G442" s="299"/>
    </row>
    <row r="443" ht="12.75">
      <c r="G443" s="299"/>
    </row>
    <row r="444" ht="12.75">
      <c r="G444" s="299"/>
    </row>
    <row r="445" ht="12.75">
      <c r="G445" s="299"/>
    </row>
    <row r="446" ht="12.75">
      <c r="G446" s="299"/>
    </row>
    <row r="447" ht="12.75">
      <c r="G447" s="299"/>
    </row>
    <row r="448" ht="12.75">
      <c r="G448" s="299"/>
    </row>
    <row r="449" ht="12.75">
      <c r="G449" s="299"/>
    </row>
    <row r="450" ht="12.75">
      <c r="G450" s="299"/>
    </row>
    <row r="451" ht="12.75">
      <c r="G451" s="299"/>
    </row>
    <row r="452" ht="12.75">
      <c r="G452" s="299"/>
    </row>
    <row r="453" ht="12.75">
      <c r="G453" s="299"/>
    </row>
    <row r="454" ht="12.75">
      <c r="G454" s="299"/>
    </row>
    <row r="455" ht="12.75">
      <c r="G455" s="299"/>
    </row>
    <row r="456" ht="12.75">
      <c r="G456" s="299"/>
    </row>
    <row r="457" ht="12.75">
      <c r="G457" s="299"/>
    </row>
    <row r="458" ht="12.75">
      <c r="G458" s="299"/>
    </row>
    <row r="459" ht="12.75">
      <c r="G459" s="299"/>
    </row>
    <row r="460" ht="12.75">
      <c r="G460" s="299"/>
    </row>
    <row r="461" ht="12.75">
      <c r="G461" s="299"/>
    </row>
    <row r="462" ht="12.75">
      <c r="G462" s="299"/>
    </row>
    <row r="463" ht="12.75">
      <c r="G463" s="299"/>
    </row>
    <row r="464" ht="12.75">
      <c r="G464" s="299"/>
    </row>
    <row r="465" ht="12.75">
      <c r="G465" s="299"/>
    </row>
    <row r="466" ht="12.75">
      <c r="G466" s="299"/>
    </row>
    <row r="467" ht="12.75">
      <c r="G467" s="299"/>
    </row>
    <row r="468" ht="12.75">
      <c r="G468" s="299"/>
    </row>
    <row r="469" ht="12.75">
      <c r="G469" s="299"/>
    </row>
    <row r="470" ht="12.75">
      <c r="G470" s="299"/>
    </row>
    <row r="471" ht="12.75">
      <c r="G471" s="299"/>
    </row>
    <row r="472" ht="12.75">
      <c r="G472" s="299"/>
    </row>
    <row r="473" ht="12.75">
      <c r="G473" s="299"/>
    </row>
    <row r="474" ht="12.75">
      <c r="G474" s="299"/>
    </row>
    <row r="475" ht="12.75">
      <c r="G475" s="299"/>
    </row>
    <row r="476" ht="12.75">
      <c r="G476" s="299"/>
    </row>
    <row r="477" ht="12.75">
      <c r="G477" s="299"/>
    </row>
    <row r="478" ht="12.75">
      <c r="G478" s="299"/>
    </row>
    <row r="479" ht="12.75">
      <c r="G479" s="299"/>
    </row>
    <row r="480" ht="12.75">
      <c r="G480" s="299"/>
    </row>
    <row r="481" ht="12.75">
      <c r="G481" s="299"/>
    </row>
    <row r="482" ht="12.75">
      <c r="G482" s="299"/>
    </row>
    <row r="483" ht="12.75">
      <c r="G483" s="299"/>
    </row>
    <row r="484" ht="12.75">
      <c r="G484" s="299"/>
    </row>
    <row r="485" ht="12.75">
      <c r="G485" s="299"/>
    </row>
    <row r="486" ht="12.75">
      <c r="G486" s="299"/>
    </row>
    <row r="487" ht="12.75">
      <c r="G487" s="299"/>
    </row>
    <row r="488" ht="12.75">
      <c r="G488" s="299"/>
    </row>
    <row r="489" ht="12.75">
      <c r="G489" s="299"/>
    </row>
    <row r="490" ht="12.75">
      <c r="G490" s="299"/>
    </row>
    <row r="491" ht="12.75">
      <c r="G491" s="299"/>
    </row>
    <row r="492" ht="12.75">
      <c r="G492" s="299"/>
    </row>
    <row r="493" ht="12.75">
      <c r="G493" s="299"/>
    </row>
    <row r="494" ht="12.75">
      <c r="G494" s="299"/>
    </row>
    <row r="495" ht="12.75">
      <c r="G495" s="299"/>
    </row>
    <row r="496" ht="12.75">
      <c r="G496" s="299"/>
    </row>
    <row r="497" ht="12.75">
      <c r="G497" s="299"/>
    </row>
    <row r="498" ht="12.75">
      <c r="G498" s="299"/>
    </row>
    <row r="499" ht="12.75">
      <c r="G499" s="299"/>
    </row>
    <row r="500" ht="12.75">
      <c r="G500" s="299"/>
    </row>
    <row r="501" ht="12.75">
      <c r="G501" s="299"/>
    </row>
    <row r="502" ht="12.75">
      <c r="G502" s="299"/>
    </row>
    <row r="503" ht="12.75">
      <c r="G503" s="299"/>
    </row>
    <row r="504" ht="12.75">
      <c r="G504" s="299"/>
    </row>
    <row r="505" ht="12.75">
      <c r="G505" s="299"/>
    </row>
    <row r="506" ht="12.75">
      <c r="G506" s="299"/>
    </row>
    <row r="507" ht="12.75">
      <c r="G507" s="299"/>
    </row>
    <row r="508" ht="12.75">
      <c r="G508" s="299"/>
    </row>
    <row r="509" ht="12.75">
      <c r="G509" s="299"/>
    </row>
    <row r="510" ht="12.75">
      <c r="G510" s="299"/>
    </row>
    <row r="511" ht="12.75">
      <c r="G511" s="299"/>
    </row>
    <row r="512" ht="12.75">
      <c r="G512" s="299"/>
    </row>
    <row r="513" ht="12.75">
      <c r="G513" s="299"/>
    </row>
    <row r="514" ht="12.75">
      <c r="G514" s="299"/>
    </row>
    <row r="515" ht="12.75">
      <c r="G515" s="299"/>
    </row>
    <row r="516" ht="12.75">
      <c r="G516" s="299"/>
    </row>
    <row r="517" ht="12.75">
      <c r="G517" s="299"/>
    </row>
    <row r="518" ht="12.75">
      <c r="G518" s="299"/>
    </row>
    <row r="519" ht="12.75">
      <c r="G519" s="299"/>
    </row>
    <row r="520" ht="12.75">
      <c r="G520" s="299"/>
    </row>
    <row r="521" ht="12.75">
      <c r="G521" s="299"/>
    </row>
    <row r="522" ht="12.75">
      <c r="G522" s="299"/>
    </row>
    <row r="523" ht="12.75">
      <c r="G523" s="299"/>
    </row>
    <row r="524" ht="12.75">
      <c r="G524" s="299"/>
    </row>
    <row r="525" ht="12.75">
      <c r="G525" s="299"/>
    </row>
    <row r="526" ht="12.75">
      <c r="G526" s="299"/>
    </row>
    <row r="527" ht="12.75">
      <c r="G527" s="299"/>
    </row>
    <row r="528" ht="12.75">
      <c r="G528" s="299"/>
    </row>
    <row r="529" ht="12.75">
      <c r="G529" s="299"/>
    </row>
    <row r="530" ht="12.75">
      <c r="G530" s="299"/>
    </row>
    <row r="531" ht="12.75">
      <c r="G531" s="299"/>
    </row>
    <row r="532" ht="12.75">
      <c r="G532" s="299"/>
    </row>
    <row r="533" ht="12.75">
      <c r="G533" s="299"/>
    </row>
    <row r="534" ht="12.75">
      <c r="G534" s="299"/>
    </row>
    <row r="535" ht="12.75">
      <c r="G535" s="299"/>
    </row>
    <row r="536" ht="12.75">
      <c r="G536" s="299"/>
    </row>
    <row r="537" ht="12.75">
      <c r="G537" s="299"/>
    </row>
    <row r="538" ht="12.75">
      <c r="G538" s="299"/>
    </row>
    <row r="539" ht="12.75">
      <c r="G539" s="299"/>
    </row>
    <row r="540" ht="12.75">
      <c r="G540" s="299"/>
    </row>
    <row r="541" ht="12.75">
      <c r="G541" s="299"/>
    </row>
    <row r="542" ht="12.75">
      <c r="G542" s="299"/>
    </row>
    <row r="543" ht="12.75">
      <c r="G543" s="299"/>
    </row>
    <row r="544" ht="12.75">
      <c r="G544" s="299"/>
    </row>
    <row r="545" ht="12.75">
      <c r="G545" s="299"/>
    </row>
    <row r="546" ht="12.75">
      <c r="G546" s="299"/>
    </row>
    <row r="547" ht="12.75">
      <c r="G547" s="299"/>
    </row>
    <row r="548" ht="12.75">
      <c r="G548" s="299"/>
    </row>
    <row r="549" ht="12.75">
      <c r="G549" s="299"/>
    </row>
    <row r="550" ht="12.75">
      <c r="G550" s="299"/>
    </row>
    <row r="551" ht="12.75">
      <c r="G551" s="299"/>
    </row>
    <row r="552" ht="12.75">
      <c r="G552" s="299"/>
    </row>
    <row r="553" ht="12.75">
      <c r="G553" s="299"/>
    </row>
    <row r="554" ht="12.75">
      <c r="G554" s="299"/>
    </row>
    <row r="555" ht="12.75">
      <c r="G555" s="299"/>
    </row>
    <row r="556" ht="12.75">
      <c r="G556" s="299"/>
    </row>
    <row r="557" ht="12.75">
      <c r="G557" s="299"/>
    </row>
    <row r="558" ht="12.75">
      <c r="G558" s="299"/>
    </row>
    <row r="559" ht="12.75">
      <c r="G559" s="299"/>
    </row>
    <row r="560" ht="12.75">
      <c r="G560" s="299"/>
    </row>
    <row r="561" ht="12.75">
      <c r="G561" s="299"/>
    </row>
    <row r="562" ht="12.75">
      <c r="G562" s="299"/>
    </row>
    <row r="563" ht="12.75">
      <c r="G563" s="299"/>
    </row>
    <row r="564" ht="12.75">
      <c r="G564" s="299"/>
    </row>
    <row r="565" ht="12.75">
      <c r="G565" s="299"/>
    </row>
    <row r="566" ht="12.75">
      <c r="G566" s="299"/>
    </row>
    <row r="567" ht="12.75">
      <c r="G567" s="299"/>
    </row>
    <row r="568" ht="12.75">
      <c r="G568" s="299"/>
    </row>
    <row r="569" ht="12.75">
      <c r="G569" s="299"/>
    </row>
    <row r="570" ht="12.75">
      <c r="G570" s="299"/>
    </row>
    <row r="571" ht="12.75">
      <c r="G571" s="299"/>
    </row>
    <row r="572" ht="12.75">
      <c r="G572" s="299"/>
    </row>
    <row r="573" ht="12.75">
      <c r="G573" s="299"/>
    </row>
    <row r="574" ht="12.75">
      <c r="G574" s="299"/>
    </row>
    <row r="575" ht="12.75">
      <c r="G575" s="299"/>
    </row>
    <row r="576" ht="12.75">
      <c r="G576" s="299"/>
    </row>
    <row r="577" ht="12.75">
      <c r="G577" s="299"/>
    </row>
    <row r="578" ht="12.75">
      <c r="G578" s="299"/>
    </row>
    <row r="579" ht="12.75">
      <c r="G579" s="299"/>
    </row>
    <row r="580" ht="12.75">
      <c r="G580" s="299"/>
    </row>
    <row r="581" ht="12.75">
      <c r="G581" s="299"/>
    </row>
    <row r="582" ht="12.75">
      <c r="G582" s="299"/>
    </row>
    <row r="583" ht="12.75">
      <c r="G583" s="299"/>
    </row>
    <row r="584" ht="12.75">
      <c r="G584" s="299"/>
    </row>
    <row r="585" ht="12.75">
      <c r="G585" s="299"/>
    </row>
    <row r="586" ht="12.75">
      <c r="G586" s="299"/>
    </row>
    <row r="587" ht="12.75">
      <c r="G587" s="299"/>
    </row>
    <row r="588" ht="12.75">
      <c r="G588" s="299"/>
    </row>
    <row r="589" ht="12.75">
      <c r="G589" s="299"/>
    </row>
    <row r="590" ht="12.75">
      <c r="G590" s="299"/>
    </row>
    <row r="591" ht="12.75">
      <c r="G591" s="299"/>
    </row>
    <row r="592" ht="12.75">
      <c r="G592" s="299"/>
    </row>
    <row r="593" ht="12.75">
      <c r="G593" s="299"/>
    </row>
    <row r="594" ht="12.75">
      <c r="G594" s="299"/>
    </row>
    <row r="595" ht="12.75">
      <c r="G595" s="299"/>
    </row>
    <row r="596" ht="12.75">
      <c r="G596" s="299"/>
    </row>
    <row r="597" ht="12.75">
      <c r="G597" s="299"/>
    </row>
    <row r="598" ht="12.75">
      <c r="G598" s="299"/>
    </row>
    <row r="599" ht="12.75">
      <c r="G599" s="299"/>
    </row>
    <row r="600" ht="12.75">
      <c r="G600" s="299"/>
    </row>
    <row r="601" ht="12.75">
      <c r="G601" s="299"/>
    </row>
    <row r="602" ht="12.75">
      <c r="G602" s="299"/>
    </row>
    <row r="603" ht="12.75">
      <c r="G603" s="299"/>
    </row>
    <row r="604" ht="12.75">
      <c r="G604" s="299"/>
    </row>
    <row r="605" ht="12.75">
      <c r="G605" s="299"/>
    </row>
    <row r="606" ht="12.75">
      <c r="G606" s="299"/>
    </row>
    <row r="607" ht="12.75">
      <c r="G607" s="299"/>
    </row>
    <row r="608" ht="12.75">
      <c r="G608" s="299"/>
    </row>
    <row r="609" ht="12.75">
      <c r="G609" s="299"/>
    </row>
    <row r="610" ht="12.75">
      <c r="G610" s="299"/>
    </row>
    <row r="611" ht="12.75">
      <c r="G611" s="299"/>
    </row>
    <row r="612" ht="12.75">
      <c r="G612" s="299"/>
    </row>
    <row r="613" ht="12.75">
      <c r="G613" s="299"/>
    </row>
    <row r="614" ht="12.75">
      <c r="G614" s="299"/>
    </row>
    <row r="615" ht="12.75">
      <c r="G615" s="299"/>
    </row>
    <row r="616" ht="12.75">
      <c r="G616" s="299"/>
    </row>
    <row r="617" ht="12.75">
      <c r="G617" s="299"/>
    </row>
    <row r="618" ht="12.75">
      <c r="G618" s="299"/>
    </row>
    <row r="619" ht="12.75">
      <c r="G619" s="299"/>
    </row>
    <row r="620" ht="12.75">
      <c r="G620" s="299"/>
    </row>
    <row r="621" ht="12.75">
      <c r="G621" s="299"/>
    </row>
    <row r="622" ht="12.75">
      <c r="G622" s="299"/>
    </row>
    <row r="623" ht="12.75">
      <c r="G623" s="299"/>
    </row>
    <row r="624" ht="12.75">
      <c r="G624" s="299"/>
    </row>
    <row r="625" ht="12.75">
      <c r="G625" s="299"/>
    </row>
    <row r="626" ht="12.75">
      <c r="G626" s="299"/>
    </row>
    <row r="627" ht="12.75">
      <c r="G627" s="299"/>
    </row>
    <row r="628" ht="12.75">
      <c r="G628" s="299"/>
    </row>
    <row r="629" ht="12.75">
      <c r="G629" s="299"/>
    </row>
    <row r="630" ht="12.75">
      <c r="G630" s="299"/>
    </row>
    <row r="631" ht="12.75">
      <c r="G631" s="299"/>
    </row>
    <row r="632" ht="12.75">
      <c r="G632" s="299"/>
    </row>
    <row r="633" ht="12.75">
      <c r="G633" s="299"/>
    </row>
    <row r="634" ht="12.75">
      <c r="G634" s="299"/>
    </row>
    <row r="635" ht="12.75">
      <c r="G635" s="299"/>
    </row>
    <row r="636" ht="12.75">
      <c r="G636" s="299"/>
    </row>
    <row r="637" ht="12.75">
      <c r="G637" s="299"/>
    </row>
    <row r="638" ht="12.75">
      <c r="G638" s="299"/>
    </row>
    <row r="639" ht="12.75">
      <c r="G639" s="299"/>
    </row>
    <row r="640" ht="12.75">
      <c r="G640" s="299"/>
    </row>
    <row r="641" ht="12.75">
      <c r="G641" s="299"/>
    </row>
    <row r="642" ht="12.75">
      <c r="G642" s="299"/>
    </row>
    <row r="643" ht="12.75">
      <c r="G643" s="299"/>
    </row>
    <row r="644" ht="12.75">
      <c r="G644" s="299"/>
    </row>
    <row r="645" ht="12.75">
      <c r="G645" s="299"/>
    </row>
    <row r="646" ht="12.75">
      <c r="G646" s="299"/>
    </row>
    <row r="647" ht="12.75">
      <c r="G647" s="299"/>
    </row>
    <row r="648" ht="12.75">
      <c r="G648" s="299"/>
    </row>
    <row r="649" ht="12.75">
      <c r="G649" s="299"/>
    </row>
    <row r="650" ht="12.75">
      <c r="G650" s="299"/>
    </row>
    <row r="651" ht="12.75">
      <c r="G651" s="299"/>
    </row>
    <row r="652" ht="12.75">
      <c r="G652" s="299"/>
    </row>
    <row r="653" ht="12.75">
      <c r="G653" s="299"/>
    </row>
    <row r="654" ht="12.75">
      <c r="G654" s="299"/>
    </row>
    <row r="655" ht="12.75">
      <c r="G655" s="299"/>
    </row>
    <row r="656" ht="12.75">
      <c r="G656" s="299"/>
    </row>
    <row r="657" ht="12.75">
      <c r="G657" s="299"/>
    </row>
    <row r="658" ht="12.75">
      <c r="G658" s="299"/>
    </row>
    <row r="659" ht="12.75">
      <c r="G659" s="299"/>
    </row>
    <row r="660" ht="12.75">
      <c r="G660" s="299"/>
    </row>
    <row r="661" ht="12.75">
      <c r="G661" s="299"/>
    </row>
    <row r="662" ht="12.75">
      <c r="G662" s="299"/>
    </row>
    <row r="663" ht="12.75">
      <c r="G663" s="299"/>
    </row>
    <row r="664" ht="12.75">
      <c r="G664" s="299"/>
    </row>
    <row r="665" ht="12.75">
      <c r="G665" s="299"/>
    </row>
    <row r="666" ht="12.75">
      <c r="G666" s="299"/>
    </row>
    <row r="667" ht="12.75">
      <c r="G667" s="299"/>
    </row>
    <row r="668" ht="12.75">
      <c r="G668" s="299"/>
    </row>
    <row r="669" ht="12.75">
      <c r="G669" s="299"/>
    </row>
    <row r="670" ht="12.75">
      <c r="G670" s="299"/>
    </row>
    <row r="671" ht="12.75">
      <c r="G671" s="299"/>
    </row>
    <row r="672" ht="12.75">
      <c r="G672" s="299"/>
    </row>
    <row r="673" ht="12.75">
      <c r="G673" s="299"/>
    </row>
    <row r="674" ht="12.75">
      <c r="G674" s="299"/>
    </row>
    <row r="675" ht="12.75">
      <c r="G675" s="299"/>
    </row>
    <row r="676" ht="12.75">
      <c r="G676" s="299"/>
    </row>
    <row r="677" ht="12.75">
      <c r="G677" s="299"/>
    </row>
    <row r="678" ht="12.75">
      <c r="G678" s="299"/>
    </row>
    <row r="679" ht="12.75">
      <c r="G679" s="299"/>
    </row>
    <row r="680" ht="12.75">
      <c r="G680" s="299"/>
    </row>
    <row r="681" ht="12.75">
      <c r="G681" s="299"/>
    </row>
    <row r="682" ht="12.75">
      <c r="G682" s="299"/>
    </row>
    <row r="683" ht="12.75">
      <c r="G683" s="299"/>
    </row>
    <row r="684" ht="12.75">
      <c r="G684" s="299"/>
    </row>
    <row r="685" ht="12.75">
      <c r="G685" s="299"/>
    </row>
    <row r="686" ht="12.75">
      <c r="G686" s="299"/>
    </row>
    <row r="687" ht="12.75">
      <c r="G687" s="299"/>
    </row>
    <row r="688" ht="12.75">
      <c r="G688" s="299"/>
    </row>
    <row r="689" ht="12.75">
      <c r="G689" s="299"/>
    </row>
    <row r="690" ht="12.75">
      <c r="G690" s="299"/>
    </row>
    <row r="691" ht="12.75">
      <c r="G691" s="299"/>
    </row>
    <row r="692" ht="12.75">
      <c r="G692" s="299"/>
    </row>
    <row r="693" ht="12.75">
      <c r="G693" s="299"/>
    </row>
    <row r="694" ht="12.75">
      <c r="G694" s="299"/>
    </row>
    <row r="695" ht="12.75">
      <c r="G695" s="299"/>
    </row>
    <row r="696" ht="12.75">
      <c r="G696" s="299"/>
    </row>
    <row r="697" ht="12.75">
      <c r="G697" s="299"/>
    </row>
    <row r="698" ht="12.75">
      <c r="G698" s="299"/>
    </row>
    <row r="699" ht="12.75">
      <c r="G699" s="299"/>
    </row>
    <row r="700" ht="12.75">
      <c r="G700" s="299"/>
    </row>
    <row r="701" ht="12.75">
      <c r="G701" s="299"/>
    </row>
    <row r="702" ht="12.75">
      <c r="G702" s="299"/>
    </row>
    <row r="703" ht="12.75">
      <c r="G703" s="299"/>
    </row>
    <row r="704" ht="12.75">
      <c r="G704" s="299"/>
    </row>
    <row r="705" ht="12.75">
      <c r="G705" s="299"/>
    </row>
    <row r="706" ht="12.75">
      <c r="G706" s="299"/>
    </row>
    <row r="707" ht="12.75">
      <c r="G707" s="299"/>
    </row>
    <row r="708" ht="12.75">
      <c r="G708" s="299"/>
    </row>
    <row r="709" ht="12.75">
      <c r="G709" s="299"/>
    </row>
    <row r="710" ht="12.75">
      <c r="G710" s="299"/>
    </row>
    <row r="711" ht="12.75">
      <c r="G711" s="299"/>
    </row>
    <row r="712" ht="12.75">
      <c r="G712" s="299"/>
    </row>
    <row r="713" ht="12.75">
      <c r="G713" s="299"/>
    </row>
    <row r="714" ht="12.75">
      <c r="G714" s="299"/>
    </row>
    <row r="715" ht="12.75">
      <c r="G715" s="299"/>
    </row>
    <row r="716" ht="12.75">
      <c r="G716" s="299"/>
    </row>
    <row r="717" ht="12.75">
      <c r="G717" s="299"/>
    </row>
    <row r="718" ht="12.75">
      <c r="G718" s="299"/>
    </row>
    <row r="719" ht="12.75">
      <c r="G719" s="299"/>
    </row>
    <row r="720" ht="12.75">
      <c r="G720" s="299"/>
    </row>
    <row r="721" ht="12.75">
      <c r="G721" s="299"/>
    </row>
    <row r="722" ht="12.75">
      <c r="G722" s="299"/>
    </row>
    <row r="723" ht="12.75">
      <c r="G723" s="299"/>
    </row>
    <row r="724" ht="12.75">
      <c r="G724" s="299"/>
    </row>
    <row r="725" ht="12.75">
      <c r="G725" s="299"/>
    </row>
    <row r="726" ht="12.75">
      <c r="G726" s="299"/>
    </row>
    <row r="727" ht="12.75">
      <c r="G727" s="299"/>
    </row>
    <row r="728" ht="12.75">
      <c r="G728" s="299"/>
    </row>
    <row r="729" ht="12.75">
      <c r="G729" s="299"/>
    </row>
    <row r="730" ht="12.75">
      <c r="G730" s="299"/>
    </row>
    <row r="731" ht="12.75">
      <c r="G731" s="299"/>
    </row>
    <row r="732" ht="12.75">
      <c r="G732" s="299"/>
    </row>
    <row r="733" ht="12.75">
      <c r="G733" s="299"/>
    </row>
    <row r="734" ht="12.75">
      <c r="G734" s="299"/>
    </row>
    <row r="735" ht="12.75">
      <c r="G735" s="299"/>
    </row>
    <row r="736" ht="12.75">
      <c r="G736" s="299"/>
    </row>
    <row r="737" ht="12.75">
      <c r="G737" s="299"/>
    </row>
    <row r="738" ht="12.75">
      <c r="G738" s="299"/>
    </row>
    <row r="739" ht="12.75">
      <c r="G739" s="299"/>
    </row>
    <row r="740" ht="12.75">
      <c r="G740" s="299"/>
    </row>
    <row r="741" ht="12.75">
      <c r="G741" s="299"/>
    </row>
    <row r="742" ht="12.75">
      <c r="G742" s="299"/>
    </row>
    <row r="743" ht="12.75">
      <c r="G743" s="299"/>
    </row>
    <row r="744" ht="12.75">
      <c r="G744" s="299"/>
    </row>
    <row r="745" ht="12.75">
      <c r="G745" s="299"/>
    </row>
    <row r="746" ht="12.75">
      <c r="G746" s="299"/>
    </row>
    <row r="747" ht="12.75">
      <c r="G747" s="299"/>
    </row>
    <row r="748" ht="12.75">
      <c r="G748" s="299"/>
    </row>
    <row r="749" ht="12.75">
      <c r="G749" s="299"/>
    </row>
    <row r="750" ht="12.75">
      <c r="G750" s="299"/>
    </row>
    <row r="751" ht="12.75">
      <c r="G751" s="299"/>
    </row>
    <row r="752" ht="12.75">
      <c r="G752" s="299"/>
    </row>
    <row r="753" ht="12.75">
      <c r="G753" s="299"/>
    </row>
    <row r="754" ht="12.75">
      <c r="G754" s="299"/>
    </row>
    <row r="755" ht="12.75">
      <c r="G755" s="299"/>
    </row>
    <row r="756" ht="12.75">
      <c r="G756" s="299"/>
    </row>
    <row r="757" ht="12.75">
      <c r="G757" s="299"/>
    </row>
    <row r="758" ht="12.75">
      <c r="G758" s="299"/>
    </row>
    <row r="759" ht="12.75">
      <c r="G759" s="299"/>
    </row>
    <row r="760" ht="12.75">
      <c r="G760" s="299"/>
    </row>
    <row r="761" ht="12.75">
      <c r="G761" s="299"/>
    </row>
    <row r="762" ht="12.75">
      <c r="G762" s="299"/>
    </row>
    <row r="763" ht="12.75">
      <c r="G763" s="299"/>
    </row>
    <row r="764" ht="12.75">
      <c r="G764" s="299"/>
    </row>
    <row r="765" ht="12.75">
      <c r="G765" s="299"/>
    </row>
    <row r="766" ht="12.75">
      <c r="G766" s="299"/>
    </row>
    <row r="767" ht="12.75">
      <c r="G767" s="299"/>
    </row>
    <row r="768" ht="12.75">
      <c r="G768" s="299"/>
    </row>
    <row r="769" ht="12.75">
      <c r="G769" s="299"/>
    </row>
    <row r="770" ht="12.75">
      <c r="G770" s="299"/>
    </row>
    <row r="771" ht="12.75">
      <c r="G771" s="299"/>
    </row>
    <row r="772" ht="12.75">
      <c r="G772" s="299"/>
    </row>
    <row r="773" ht="12.75">
      <c r="G773" s="299"/>
    </row>
    <row r="774" ht="12.75">
      <c r="G774" s="299"/>
    </row>
    <row r="775" ht="12.75">
      <c r="G775" s="299"/>
    </row>
    <row r="776" ht="12.75">
      <c r="G776" s="299"/>
    </row>
    <row r="777" ht="12.75">
      <c r="G777" s="299"/>
    </row>
    <row r="778" ht="12.75">
      <c r="G778" s="299"/>
    </row>
    <row r="779" ht="12.75">
      <c r="G779" s="299"/>
    </row>
    <row r="780" ht="12.75">
      <c r="G780" s="299"/>
    </row>
    <row r="781" ht="12.75">
      <c r="G781" s="299"/>
    </row>
    <row r="782" ht="12.75">
      <c r="G782" s="299"/>
    </row>
    <row r="783" ht="12.75">
      <c r="G783" s="299"/>
    </row>
    <row r="784" ht="12.75">
      <c r="G784" s="299"/>
    </row>
    <row r="785" ht="12.75">
      <c r="G785" s="299"/>
    </row>
    <row r="786" ht="12.75">
      <c r="G786" s="299"/>
    </row>
    <row r="787" ht="12.75">
      <c r="G787" s="299"/>
    </row>
    <row r="788" ht="12.75">
      <c r="G788" s="299"/>
    </row>
    <row r="789" ht="12.75">
      <c r="G789" s="299"/>
    </row>
    <row r="790" ht="12.75">
      <c r="G790" s="299"/>
    </row>
    <row r="791" ht="12.75">
      <c r="G791" s="299"/>
    </row>
    <row r="792" ht="12.75">
      <c r="G792" s="299"/>
    </row>
    <row r="793" ht="12.75">
      <c r="G793" s="299"/>
    </row>
    <row r="794" ht="12.75">
      <c r="G794" s="299"/>
    </row>
    <row r="795" ht="12.75">
      <c r="G795" s="299"/>
    </row>
    <row r="796" ht="12.75">
      <c r="G796" s="299"/>
    </row>
    <row r="797" ht="12.75">
      <c r="G797" s="299"/>
    </row>
    <row r="798" ht="12.75">
      <c r="G798" s="299"/>
    </row>
    <row r="799" ht="12.75">
      <c r="G799" s="299"/>
    </row>
    <row r="800" ht="12.75">
      <c r="G800" s="299"/>
    </row>
    <row r="801" ht="12.75">
      <c r="G801" s="299"/>
    </row>
    <row r="802" ht="12.75">
      <c r="G802" s="299"/>
    </row>
    <row r="803" ht="12.75">
      <c r="G803" s="299"/>
    </row>
    <row r="804" ht="12.75">
      <c r="G804" s="299"/>
    </row>
    <row r="805" ht="12.75">
      <c r="G805" s="299"/>
    </row>
    <row r="806" ht="12.75">
      <c r="G806" s="299"/>
    </row>
    <row r="807" ht="12.75">
      <c r="G807" s="299"/>
    </row>
    <row r="808" ht="12.75">
      <c r="G808" s="299"/>
    </row>
    <row r="809" ht="12.75">
      <c r="G809" s="299"/>
    </row>
    <row r="810" ht="12.75">
      <c r="G810" s="299"/>
    </row>
    <row r="811" ht="12.75">
      <c r="G811" s="299"/>
    </row>
    <row r="812" ht="12.75">
      <c r="G812" s="299"/>
    </row>
    <row r="813" ht="12.75">
      <c r="G813" s="299"/>
    </row>
    <row r="814" ht="12.75">
      <c r="G814" s="299"/>
    </row>
    <row r="815" ht="12.75">
      <c r="G815" s="299"/>
    </row>
    <row r="816" ht="12.75">
      <c r="G816" s="299"/>
    </row>
    <row r="817" ht="12.75">
      <c r="G817" s="299"/>
    </row>
    <row r="818" ht="12.75">
      <c r="G818" s="299"/>
    </row>
    <row r="819" ht="12.75">
      <c r="G819" s="299"/>
    </row>
    <row r="820" ht="12.75">
      <c r="G820" s="299"/>
    </row>
    <row r="821" ht="12.75">
      <c r="G821" s="299"/>
    </row>
    <row r="822" ht="12.75">
      <c r="G822" s="299"/>
    </row>
    <row r="823" ht="12.75">
      <c r="G823" s="299"/>
    </row>
  </sheetData>
  <printOptions/>
  <pageMargins left="0.75" right="0.75" top="1" bottom="1" header="0.5" footer="0.5"/>
  <pageSetup fitToHeight="15" fitToWidth="2" horizontalDpi="300" verticalDpi="300" orientation="landscape" paperSize="9" scale="55" r:id="rId3"/>
  <ignoredErrors>
    <ignoredError sqref="R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6"/>
  <sheetViews>
    <sheetView workbookViewId="0" topLeftCell="A1">
      <pane ySplit="2" topLeftCell="BM15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4.00390625" style="19" customWidth="1"/>
    <col min="2" max="3" width="8.140625" style="19" customWidth="1"/>
    <col min="4" max="4" width="9.421875" style="19" customWidth="1"/>
    <col min="5" max="5" width="6.8515625" style="19" customWidth="1"/>
    <col min="6" max="6" width="16.00390625" style="19" customWidth="1"/>
    <col min="7" max="7" width="33.8515625" style="22" customWidth="1"/>
    <col min="8" max="8" width="9.140625" style="22" customWidth="1"/>
    <col min="9" max="9" width="13.00390625" style="19" customWidth="1"/>
    <col min="10" max="10" width="13.8515625" style="19" bestFit="1" customWidth="1"/>
    <col min="11" max="11" width="11.28125" style="0" bestFit="1" customWidth="1"/>
    <col min="12" max="12" width="30.7109375" style="19" customWidth="1"/>
    <col min="13" max="16384" width="9.140625" style="19" customWidth="1"/>
  </cols>
  <sheetData>
    <row r="1" spans="1:8" ht="15.75">
      <c r="A1" s="49" t="s">
        <v>337</v>
      </c>
      <c r="B1" s="49"/>
      <c r="C1" s="49"/>
      <c r="D1" s="49"/>
      <c r="E1" s="49"/>
      <c r="G1" s="39"/>
      <c r="H1" s="50"/>
    </row>
    <row r="2" spans="1:12" s="36" customFormat="1" ht="27.75" customHeight="1">
      <c r="A2" s="35" t="s">
        <v>390</v>
      </c>
      <c r="B2" s="12" t="s">
        <v>231</v>
      </c>
      <c r="C2" s="12" t="s">
        <v>232</v>
      </c>
      <c r="D2" s="12" t="s">
        <v>207</v>
      </c>
      <c r="E2" s="12" t="s">
        <v>233</v>
      </c>
      <c r="F2" s="11" t="s">
        <v>112</v>
      </c>
      <c r="G2" s="13" t="s">
        <v>379</v>
      </c>
      <c r="H2" s="12" t="s">
        <v>404</v>
      </c>
      <c r="I2" s="31" t="s">
        <v>364</v>
      </c>
      <c r="J2" s="31" t="s">
        <v>365</v>
      </c>
      <c r="K2" s="12" t="s">
        <v>366</v>
      </c>
      <c r="L2" s="31" t="s">
        <v>449</v>
      </c>
    </row>
    <row r="3" spans="1:12" ht="13.5" customHeight="1">
      <c r="A3" s="51">
        <v>0</v>
      </c>
      <c r="B3" s="166"/>
      <c r="C3" s="166"/>
      <c r="D3" s="166"/>
      <c r="E3" s="167"/>
      <c r="F3" s="17"/>
      <c r="G3" s="19"/>
      <c r="H3" s="33"/>
      <c r="I3" s="28"/>
      <c r="J3" s="28"/>
      <c r="K3" s="28"/>
      <c r="L3" s="43"/>
    </row>
    <row r="4" spans="1:12" ht="12.75">
      <c r="A4" s="51">
        <f aca="true" t="shared" si="0" ref="A4:A28">A3+1</f>
        <v>1</v>
      </c>
      <c r="B4" s="178">
        <v>37165</v>
      </c>
      <c r="C4" s="166"/>
      <c r="D4" s="166">
        <v>37301</v>
      </c>
      <c r="E4" s="167">
        <f aca="true" t="shared" si="1" ref="E4:E28">D4-B4</f>
        <v>136</v>
      </c>
      <c r="F4" s="120" t="s">
        <v>341</v>
      </c>
      <c r="G4" s="17" t="s">
        <v>215</v>
      </c>
      <c r="H4" s="156" t="s">
        <v>197</v>
      </c>
      <c r="I4" s="121"/>
      <c r="J4" s="121">
        <v>208340</v>
      </c>
      <c r="K4" s="121"/>
      <c r="L4" s="43"/>
    </row>
    <row r="5" spans="1:12" ht="12.75">
      <c r="A5" s="51">
        <f t="shared" si="0"/>
        <v>2</v>
      </c>
      <c r="B5" s="178">
        <v>37299</v>
      </c>
      <c r="C5" s="166">
        <v>37313</v>
      </c>
      <c r="D5" s="166">
        <v>37316</v>
      </c>
      <c r="E5" s="167">
        <f t="shared" si="1"/>
        <v>17</v>
      </c>
      <c r="F5" s="20" t="s">
        <v>304</v>
      </c>
      <c r="G5" s="20" t="s">
        <v>296</v>
      </c>
      <c r="H5" s="33" t="s">
        <v>444</v>
      </c>
      <c r="I5" s="121">
        <v>56000</v>
      </c>
      <c r="J5" s="121"/>
      <c r="K5" s="121"/>
      <c r="L5" s="43"/>
    </row>
    <row r="6" spans="1:12" ht="12.75">
      <c r="A6" s="51">
        <f t="shared" si="0"/>
        <v>3</v>
      </c>
      <c r="B6" s="178">
        <v>36951</v>
      </c>
      <c r="C6" s="166">
        <v>37302</v>
      </c>
      <c r="D6" s="166">
        <v>37321</v>
      </c>
      <c r="E6" s="167">
        <f t="shared" si="1"/>
        <v>370</v>
      </c>
      <c r="F6" s="20" t="s">
        <v>302</v>
      </c>
      <c r="G6" s="85" t="s">
        <v>107</v>
      </c>
      <c r="H6" s="33" t="s">
        <v>367</v>
      </c>
      <c r="I6" s="121"/>
      <c r="J6" s="121">
        <v>370000</v>
      </c>
      <c r="K6" s="121"/>
      <c r="L6" s="43"/>
    </row>
    <row r="7" spans="1:12" ht="12.75">
      <c r="A7" s="51">
        <f t="shared" si="0"/>
        <v>4</v>
      </c>
      <c r="B7" s="178">
        <v>37330</v>
      </c>
      <c r="C7" s="166">
        <v>37340</v>
      </c>
      <c r="D7" s="166">
        <v>37344</v>
      </c>
      <c r="E7" s="167">
        <f t="shared" si="1"/>
        <v>14</v>
      </c>
      <c r="F7" s="283" t="s">
        <v>345</v>
      </c>
      <c r="G7" s="20" t="s">
        <v>254</v>
      </c>
      <c r="H7" s="33" t="s">
        <v>197</v>
      </c>
      <c r="I7" s="121"/>
      <c r="J7" s="121"/>
      <c r="K7" s="121">
        <v>300000</v>
      </c>
      <c r="L7" s="43"/>
    </row>
    <row r="8" spans="1:12" ht="12.75">
      <c r="A8" s="51">
        <f t="shared" si="0"/>
        <v>5</v>
      </c>
      <c r="B8" s="178">
        <v>37347</v>
      </c>
      <c r="C8" s="166">
        <v>37358</v>
      </c>
      <c r="D8" s="166">
        <v>37365</v>
      </c>
      <c r="E8" s="167">
        <f t="shared" si="1"/>
        <v>18</v>
      </c>
      <c r="F8" s="88" t="s">
        <v>304</v>
      </c>
      <c r="G8" s="20" t="s">
        <v>89</v>
      </c>
      <c r="H8" s="40" t="s">
        <v>22</v>
      </c>
      <c r="I8" s="121"/>
      <c r="J8" s="121">
        <v>250000</v>
      </c>
      <c r="K8" s="121"/>
      <c r="L8" s="17"/>
    </row>
    <row r="9" spans="1:12" ht="12.75">
      <c r="A9" s="51">
        <f t="shared" si="0"/>
        <v>6</v>
      </c>
      <c r="B9" s="166">
        <v>37358</v>
      </c>
      <c r="C9" s="166">
        <v>37365</v>
      </c>
      <c r="D9" s="166">
        <v>37372</v>
      </c>
      <c r="E9" s="167">
        <f t="shared" si="1"/>
        <v>14</v>
      </c>
      <c r="F9" s="20" t="s">
        <v>302</v>
      </c>
      <c r="G9" s="20" t="s">
        <v>260</v>
      </c>
      <c r="H9" s="33" t="s">
        <v>8</v>
      </c>
      <c r="I9" s="121"/>
      <c r="J9" s="121"/>
      <c r="K9" s="121">
        <f>7000*12</f>
        <v>84000</v>
      </c>
      <c r="L9" s="17"/>
    </row>
    <row r="10" spans="1:12" ht="12.75">
      <c r="A10" s="51">
        <f t="shared" si="0"/>
        <v>7</v>
      </c>
      <c r="B10" s="166">
        <v>37360</v>
      </c>
      <c r="C10" s="166">
        <v>37365</v>
      </c>
      <c r="D10" s="166">
        <v>37372</v>
      </c>
      <c r="E10" s="167">
        <f t="shared" si="1"/>
        <v>12</v>
      </c>
      <c r="F10" s="20" t="s">
        <v>306</v>
      </c>
      <c r="G10" s="20" t="s">
        <v>95</v>
      </c>
      <c r="H10" s="40" t="s">
        <v>22</v>
      </c>
      <c r="I10" s="121"/>
      <c r="J10" s="121">
        <v>25000</v>
      </c>
      <c r="K10" s="121"/>
      <c r="L10" s="17"/>
    </row>
    <row r="11" spans="1:12" ht="25.5">
      <c r="A11" s="51">
        <f t="shared" si="0"/>
        <v>8</v>
      </c>
      <c r="B11" s="166">
        <v>37360</v>
      </c>
      <c r="C11" s="166">
        <v>37365</v>
      </c>
      <c r="D11" s="166">
        <v>37372</v>
      </c>
      <c r="E11" s="167">
        <f t="shared" si="1"/>
        <v>12</v>
      </c>
      <c r="F11" s="77" t="s">
        <v>350</v>
      </c>
      <c r="G11" s="20" t="s">
        <v>89</v>
      </c>
      <c r="H11" s="40" t="s">
        <v>22</v>
      </c>
      <c r="I11" s="121"/>
      <c r="J11" s="121">
        <v>120000</v>
      </c>
      <c r="K11" s="121"/>
      <c r="L11" s="17"/>
    </row>
    <row r="12" spans="1:12" ht="12.75">
      <c r="A12" s="51">
        <f t="shared" si="0"/>
        <v>9</v>
      </c>
      <c r="B12" s="178">
        <v>37165</v>
      </c>
      <c r="C12" s="166">
        <v>37179</v>
      </c>
      <c r="D12" s="166">
        <v>37373</v>
      </c>
      <c r="E12" s="167">
        <f t="shared" si="1"/>
        <v>208</v>
      </c>
      <c r="F12" s="20" t="s">
        <v>359</v>
      </c>
      <c r="G12" s="85" t="s">
        <v>107</v>
      </c>
      <c r="H12" s="33" t="s">
        <v>8</v>
      </c>
      <c r="I12" s="121"/>
      <c r="J12" s="121">
        <v>29000</v>
      </c>
      <c r="K12" s="121"/>
      <c r="L12" s="17"/>
    </row>
    <row r="13" spans="1:12" ht="12.75">
      <c r="A13" s="51">
        <f t="shared" si="0"/>
        <v>10</v>
      </c>
      <c r="B13" s="166">
        <v>37261</v>
      </c>
      <c r="C13" s="166">
        <v>37305</v>
      </c>
      <c r="D13" s="166">
        <v>37373</v>
      </c>
      <c r="E13" s="167">
        <f t="shared" si="1"/>
        <v>112</v>
      </c>
      <c r="F13" s="20" t="s">
        <v>308</v>
      </c>
      <c r="G13" s="20" t="s">
        <v>123</v>
      </c>
      <c r="H13" s="40" t="s">
        <v>103</v>
      </c>
      <c r="I13" s="121">
        <v>30000</v>
      </c>
      <c r="J13" s="121"/>
      <c r="K13" s="121"/>
      <c r="L13" s="17"/>
    </row>
    <row r="14" spans="1:12" ht="12.75">
      <c r="A14" s="51">
        <f t="shared" si="0"/>
        <v>11</v>
      </c>
      <c r="B14" s="178">
        <v>37330</v>
      </c>
      <c r="C14" s="166">
        <v>37359</v>
      </c>
      <c r="D14" s="166">
        <v>37373</v>
      </c>
      <c r="E14" s="167">
        <f t="shared" si="1"/>
        <v>43</v>
      </c>
      <c r="F14" s="20" t="s">
        <v>357</v>
      </c>
      <c r="G14" s="20" t="s">
        <v>260</v>
      </c>
      <c r="H14" s="40" t="s">
        <v>10</v>
      </c>
      <c r="I14" s="121"/>
      <c r="J14" s="121"/>
      <c r="K14" s="121">
        <v>18200</v>
      </c>
      <c r="L14" s="17"/>
    </row>
    <row r="15" spans="1:12" ht="12.75">
      <c r="A15" s="51">
        <f t="shared" si="0"/>
        <v>12</v>
      </c>
      <c r="B15" s="166">
        <v>37305</v>
      </c>
      <c r="C15" s="166">
        <v>37336</v>
      </c>
      <c r="D15" s="166">
        <v>37383</v>
      </c>
      <c r="E15" s="167">
        <f t="shared" si="1"/>
        <v>78</v>
      </c>
      <c r="F15" s="88" t="s">
        <v>307</v>
      </c>
      <c r="G15" s="20" t="s">
        <v>47</v>
      </c>
      <c r="H15" s="33" t="s">
        <v>447</v>
      </c>
      <c r="I15" s="121"/>
      <c r="J15" s="121">
        <v>42000</v>
      </c>
      <c r="K15" s="121"/>
      <c r="L15" s="17"/>
    </row>
    <row r="16" spans="1:12" ht="25.5">
      <c r="A16" s="51">
        <f t="shared" si="0"/>
        <v>13</v>
      </c>
      <c r="B16" s="162">
        <v>37240</v>
      </c>
      <c r="C16" s="166">
        <v>37328</v>
      </c>
      <c r="D16" s="166">
        <v>37406</v>
      </c>
      <c r="E16" s="167">
        <f t="shared" si="1"/>
        <v>166</v>
      </c>
      <c r="F16" s="20" t="s">
        <v>350</v>
      </c>
      <c r="G16" s="85" t="s">
        <v>213</v>
      </c>
      <c r="H16" s="33" t="s">
        <v>191</v>
      </c>
      <c r="I16" s="121">
        <v>220000</v>
      </c>
      <c r="J16" s="121"/>
      <c r="K16" s="121"/>
      <c r="L16" s="17"/>
    </row>
    <row r="17" spans="1:12" ht="12.75">
      <c r="A17" s="51">
        <f t="shared" si="0"/>
        <v>14</v>
      </c>
      <c r="B17" s="166">
        <v>37316</v>
      </c>
      <c r="C17" s="166">
        <v>37406</v>
      </c>
      <c r="D17" s="166">
        <v>37414</v>
      </c>
      <c r="E17" s="167">
        <f t="shared" si="1"/>
        <v>98</v>
      </c>
      <c r="F17" s="17" t="s">
        <v>285</v>
      </c>
      <c r="G17" s="20" t="s">
        <v>260</v>
      </c>
      <c r="H17" s="40" t="s">
        <v>8</v>
      </c>
      <c r="I17" s="121"/>
      <c r="J17" s="121"/>
      <c r="K17" s="121">
        <f>7500*3</f>
        <v>22500</v>
      </c>
      <c r="L17" s="17"/>
    </row>
    <row r="18" spans="1:12" ht="12.75">
      <c r="A18" s="51">
        <f t="shared" si="0"/>
        <v>15</v>
      </c>
      <c r="B18" s="166">
        <v>37316</v>
      </c>
      <c r="C18" s="166">
        <v>37407</v>
      </c>
      <c r="D18" s="166">
        <v>37414</v>
      </c>
      <c r="E18" s="167">
        <f t="shared" si="1"/>
        <v>98</v>
      </c>
      <c r="F18" s="17" t="s">
        <v>285</v>
      </c>
      <c r="G18" s="20" t="s">
        <v>89</v>
      </c>
      <c r="H18" s="40" t="s">
        <v>8</v>
      </c>
      <c r="I18" s="121"/>
      <c r="J18" s="121">
        <v>80000</v>
      </c>
      <c r="K18" s="121"/>
      <c r="L18" s="17"/>
    </row>
    <row r="19" spans="1:12" ht="12.75">
      <c r="A19" s="51">
        <f t="shared" si="0"/>
        <v>16</v>
      </c>
      <c r="B19" s="162">
        <v>37334</v>
      </c>
      <c r="C19" s="162">
        <v>37341</v>
      </c>
      <c r="D19" s="166">
        <v>37435</v>
      </c>
      <c r="E19" s="167">
        <f t="shared" si="1"/>
        <v>101</v>
      </c>
      <c r="F19" s="120" t="s">
        <v>341</v>
      </c>
      <c r="G19" s="20" t="s">
        <v>89</v>
      </c>
      <c r="H19" s="33" t="s">
        <v>370</v>
      </c>
      <c r="I19" s="121"/>
      <c r="J19" s="121">
        <v>30000</v>
      </c>
      <c r="K19" s="121"/>
      <c r="L19" s="17"/>
    </row>
    <row r="20" spans="1:12" ht="38.25">
      <c r="A20" s="51">
        <f t="shared" si="0"/>
        <v>17</v>
      </c>
      <c r="B20" s="194">
        <v>37408</v>
      </c>
      <c r="C20" s="194">
        <v>37408</v>
      </c>
      <c r="D20" s="166">
        <v>37438</v>
      </c>
      <c r="E20" s="167">
        <f t="shared" si="1"/>
        <v>30</v>
      </c>
      <c r="F20" s="236" t="s">
        <v>341</v>
      </c>
      <c r="G20" s="20" t="s">
        <v>260</v>
      </c>
      <c r="H20" s="40" t="s">
        <v>8</v>
      </c>
      <c r="I20" s="121"/>
      <c r="J20" s="121"/>
      <c r="K20" s="121">
        <f>4000*12</f>
        <v>48000</v>
      </c>
      <c r="L20" s="17"/>
    </row>
    <row r="21" spans="1:12" ht="12.75">
      <c r="A21" s="51">
        <f t="shared" si="0"/>
        <v>18</v>
      </c>
      <c r="B21" s="162">
        <v>37413</v>
      </c>
      <c r="C21" s="194">
        <v>37426</v>
      </c>
      <c r="D21" s="166">
        <v>37462</v>
      </c>
      <c r="E21" s="167">
        <f t="shared" si="1"/>
        <v>49</v>
      </c>
      <c r="F21" s="17" t="s">
        <v>357</v>
      </c>
      <c r="G21" s="20" t="s">
        <v>296</v>
      </c>
      <c r="H21" s="65" t="s">
        <v>10</v>
      </c>
      <c r="I21" s="121">
        <v>41000</v>
      </c>
      <c r="J21" s="121"/>
      <c r="K21" s="121"/>
      <c r="L21" s="17"/>
    </row>
    <row r="22" spans="1:12" ht="12.75">
      <c r="A22" s="51">
        <f t="shared" si="0"/>
        <v>19</v>
      </c>
      <c r="B22" s="245">
        <v>37420</v>
      </c>
      <c r="C22" s="194">
        <v>37425</v>
      </c>
      <c r="D22" s="166">
        <v>37487</v>
      </c>
      <c r="E22" s="167">
        <f t="shared" si="1"/>
        <v>67</v>
      </c>
      <c r="F22" s="154" t="s">
        <v>355</v>
      </c>
      <c r="G22" s="85" t="s">
        <v>107</v>
      </c>
      <c r="H22" s="156" t="s">
        <v>8</v>
      </c>
      <c r="I22" s="121"/>
      <c r="J22" s="121">
        <v>370000</v>
      </c>
      <c r="K22" s="121"/>
      <c r="L22" s="17"/>
    </row>
    <row r="23" spans="1:12" ht="38.25">
      <c r="A23" s="51">
        <f t="shared" si="0"/>
        <v>20</v>
      </c>
      <c r="B23" s="162">
        <v>37428</v>
      </c>
      <c r="C23" s="194">
        <v>37481</v>
      </c>
      <c r="D23" s="166">
        <v>37489</v>
      </c>
      <c r="E23" s="167">
        <f t="shared" si="1"/>
        <v>61</v>
      </c>
      <c r="F23" s="236" t="s">
        <v>341</v>
      </c>
      <c r="G23" s="186" t="s">
        <v>48</v>
      </c>
      <c r="H23" s="156" t="s">
        <v>197</v>
      </c>
      <c r="I23" s="121"/>
      <c r="J23" s="121">
        <f>280000/6*5</f>
        <v>233333.3333333333</v>
      </c>
      <c r="K23" s="121"/>
      <c r="L23" s="17"/>
    </row>
    <row r="24" spans="1:12" ht="12.75">
      <c r="A24" s="51">
        <f t="shared" si="0"/>
        <v>21</v>
      </c>
      <c r="B24" s="162">
        <v>37413</v>
      </c>
      <c r="C24" s="194">
        <v>37426</v>
      </c>
      <c r="D24" s="178">
        <v>37511</v>
      </c>
      <c r="E24" s="167">
        <f t="shared" si="1"/>
        <v>98</v>
      </c>
      <c r="F24" s="17" t="s">
        <v>357</v>
      </c>
      <c r="G24" s="20" t="s">
        <v>136</v>
      </c>
      <c r="H24" s="40" t="s">
        <v>10</v>
      </c>
      <c r="I24" s="121"/>
      <c r="J24" s="121">
        <v>150000</v>
      </c>
      <c r="K24" s="121"/>
      <c r="L24" s="17"/>
    </row>
    <row r="25" spans="1:12" ht="12.75">
      <c r="A25" s="51">
        <f t="shared" si="0"/>
        <v>22</v>
      </c>
      <c r="B25" s="194">
        <v>37414</v>
      </c>
      <c r="C25" s="194">
        <v>37456</v>
      </c>
      <c r="D25" s="166">
        <v>37517</v>
      </c>
      <c r="E25" s="167">
        <f t="shared" si="1"/>
        <v>103</v>
      </c>
      <c r="F25" s="154" t="s">
        <v>354</v>
      </c>
      <c r="G25" s="186" t="s">
        <v>208</v>
      </c>
      <c r="H25" s="156" t="s">
        <v>21</v>
      </c>
      <c r="I25" s="121">
        <f>(12424500)/31.5</f>
        <v>394428.5714285714</v>
      </c>
      <c r="J25" s="121"/>
      <c r="K25" s="121"/>
      <c r="L25" s="17"/>
    </row>
    <row r="26" spans="1:12" ht="12.75">
      <c r="A26" s="51">
        <f t="shared" si="0"/>
        <v>23</v>
      </c>
      <c r="B26" s="194">
        <v>37414</v>
      </c>
      <c r="C26" s="194">
        <v>37456</v>
      </c>
      <c r="D26" s="166">
        <v>37517</v>
      </c>
      <c r="E26" s="167">
        <f t="shared" si="1"/>
        <v>103</v>
      </c>
      <c r="F26" s="154" t="s">
        <v>354</v>
      </c>
      <c r="G26" s="186" t="s">
        <v>213</v>
      </c>
      <c r="H26" s="33" t="s">
        <v>21</v>
      </c>
      <c r="I26" s="121">
        <f>(1925000)/31.5</f>
        <v>61111.11111111111</v>
      </c>
      <c r="J26" s="121"/>
      <c r="K26" s="121"/>
      <c r="L26" s="17"/>
    </row>
    <row r="27" spans="1:12" ht="38.25">
      <c r="A27" s="51">
        <f t="shared" si="0"/>
        <v>24</v>
      </c>
      <c r="B27" s="162">
        <v>37330</v>
      </c>
      <c r="C27" s="162">
        <v>37496</v>
      </c>
      <c r="D27" s="166">
        <v>37517</v>
      </c>
      <c r="E27" s="167">
        <f t="shared" si="1"/>
        <v>187</v>
      </c>
      <c r="F27" s="128" t="s">
        <v>344</v>
      </c>
      <c r="G27" s="20" t="s">
        <v>257</v>
      </c>
      <c r="H27" s="156" t="s">
        <v>197</v>
      </c>
      <c r="I27" s="121"/>
      <c r="J27" s="121">
        <v>81340</v>
      </c>
      <c r="K27" s="121"/>
      <c r="L27" s="17"/>
    </row>
    <row r="28" spans="1:12" ht="38.25">
      <c r="A28" s="51">
        <f t="shared" si="0"/>
        <v>25</v>
      </c>
      <c r="B28" s="162">
        <v>37330</v>
      </c>
      <c r="C28" s="162">
        <v>37489</v>
      </c>
      <c r="D28" s="282">
        <v>37517</v>
      </c>
      <c r="E28" s="167">
        <f t="shared" si="1"/>
        <v>187</v>
      </c>
      <c r="F28" s="128" t="s">
        <v>344</v>
      </c>
      <c r="G28" s="20" t="s">
        <v>255</v>
      </c>
      <c r="H28" s="156" t="s">
        <v>197</v>
      </c>
      <c r="I28" s="121"/>
      <c r="J28" s="121">
        <v>65000</v>
      </c>
      <c r="K28" s="121"/>
      <c r="L28" s="17"/>
    </row>
    <row r="29" spans="1:12" ht="12.75">
      <c r="A29" s="51"/>
      <c r="B29" s="162"/>
      <c r="C29" s="162"/>
      <c r="D29" s="282"/>
      <c r="E29" s="167"/>
      <c r="F29" s="128"/>
      <c r="G29" s="20"/>
      <c r="H29" s="156"/>
      <c r="I29" s="121"/>
      <c r="J29" s="121"/>
      <c r="K29" s="121"/>
      <c r="L29" s="17"/>
    </row>
    <row r="30" spans="1:12" ht="12.75">
      <c r="A30" s="51"/>
      <c r="B30" s="162"/>
      <c r="C30" s="162"/>
      <c r="D30" s="282"/>
      <c r="E30" s="167"/>
      <c r="F30" s="128"/>
      <c r="G30" s="20"/>
      <c r="H30" s="156"/>
      <c r="I30" s="121"/>
      <c r="J30" s="121"/>
      <c r="K30" s="121"/>
      <c r="L30" s="17"/>
    </row>
    <row r="31" spans="1:12" ht="12.75">
      <c r="A31" s="51"/>
      <c r="B31" s="52"/>
      <c r="C31" s="52"/>
      <c r="D31" s="52"/>
      <c r="E31" s="52"/>
      <c r="F31" s="17"/>
      <c r="G31" s="20"/>
      <c r="H31" s="20"/>
      <c r="I31" s="53"/>
      <c r="J31" s="53"/>
      <c r="K31" s="53"/>
      <c r="L31" s="53"/>
    </row>
    <row r="32" spans="1:12" ht="13.5" customHeight="1">
      <c r="A32" s="188">
        <f>MAX(A3:A31)</f>
        <v>25</v>
      </c>
      <c r="D32" s="84" t="s">
        <v>234</v>
      </c>
      <c r="E32" s="169">
        <f>AVERAGE(E4:E31)</f>
        <v>95.28</v>
      </c>
      <c r="F32" s="84" t="s">
        <v>235</v>
      </c>
      <c r="I32" s="323">
        <f>SUM(I4:I31)</f>
        <v>802539.6825396825</v>
      </c>
      <c r="J32" s="323">
        <f>SUM(J4:J31)</f>
        <v>2054013.3333333333</v>
      </c>
      <c r="K32" s="323">
        <f>SUM(K4:K31)</f>
        <v>472700</v>
      </c>
      <c r="L32" s="340">
        <f>SUM(I32:K32)</f>
        <v>3329253.015873016</v>
      </c>
    </row>
    <row r="33" spans="4:11" ht="14.25" customHeight="1">
      <c r="D33" s="84" t="s">
        <v>236</v>
      </c>
      <c r="E33" s="169">
        <f>MEDIAN(E4:E31)</f>
        <v>98</v>
      </c>
      <c r="F33" s="84" t="s">
        <v>235</v>
      </c>
      <c r="H33" s="191" t="s">
        <v>239</v>
      </c>
      <c r="I33" s="324">
        <f>AVERAGE(I4:I31)</f>
        <v>133756.61375661375</v>
      </c>
      <c r="J33" s="324">
        <f>AVERAGE(J4:J31)</f>
        <v>146715.23809523808</v>
      </c>
      <c r="K33" s="324">
        <f>AVERAGE(K4:K31)</f>
        <v>94540</v>
      </c>
    </row>
    <row r="34" spans="8:11" ht="12.75">
      <c r="H34" s="191" t="s">
        <v>236</v>
      </c>
      <c r="I34" s="324">
        <f>MEDIAN(I4:I31)</f>
        <v>58555.555555555555</v>
      </c>
      <c r="J34" s="324">
        <f>MEDIAN(J4:J31)</f>
        <v>100670</v>
      </c>
      <c r="K34" s="324">
        <f>MEDIAN(K4:K31)</f>
        <v>48000</v>
      </c>
    </row>
    <row r="36" ht="12.75">
      <c r="I36" s="192"/>
    </row>
  </sheetData>
  <autoFilter ref="A2:L28"/>
  <printOptions/>
  <pageMargins left="0.75" right="0.75" top="1" bottom="1" header="0.5" footer="0.5"/>
  <pageSetup horizontalDpi="300" verticalDpi="300" orientation="landscape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432"/>
  <sheetViews>
    <sheetView workbookViewId="0" topLeftCell="A1">
      <selection activeCell="D109" sqref="D109"/>
    </sheetView>
  </sheetViews>
  <sheetFormatPr defaultColWidth="9.140625" defaultRowHeight="12.75"/>
  <cols>
    <col min="1" max="1" width="25.421875" style="322" customWidth="1"/>
    <col min="2" max="2" width="15.8515625" style="322" customWidth="1"/>
    <col min="3" max="3" width="14.7109375" style="322" customWidth="1"/>
    <col min="4" max="4" width="15.00390625" style="322" bestFit="1" customWidth="1"/>
    <col min="5" max="5" width="15.28125" style="322" bestFit="1" customWidth="1"/>
    <col min="6" max="6" width="7.28125" style="322" customWidth="1"/>
    <col min="7" max="7" width="16.28125" style="322" customWidth="1"/>
    <col min="8" max="8" width="14.00390625" style="322" customWidth="1"/>
    <col min="9" max="16384" width="9.140625" style="322" customWidth="1"/>
  </cols>
  <sheetData>
    <row r="1" spans="1:2" ht="12.75">
      <c r="A1" s="356" t="s">
        <v>112</v>
      </c>
      <c r="B1" s="357" t="s">
        <v>127</v>
      </c>
    </row>
    <row r="3" spans="1:8" ht="12.75">
      <c r="A3" s="352" t="s">
        <v>379</v>
      </c>
      <c r="B3" s="352" t="s">
        <v>404</v>
      </c>
      <c r="C3" s="352" t="s">
        <v>231</v>
      </c>
      <c r="D3" s="352" t="s">
        <v>232</v>
      </c>
      <c r="E3" s="352" t="s">
        <v>207</v>
      </c>
      <c r="F3" s="352" t="s">
        <v>233</v>
      </c>
      <c r="G3" s="352" t="s">
        <v>128</v>
      </c>
      <c r="H3" s="368" t="s">
        <v>129</v>
      </c>
    </row>
    <row r="4" spans="1:8" ht="12.75">
      <c r="A4" s="354" t="s">
        <v>126</v>
      </c>
      <c r="B4" s="353"/>
      <c r="C4" s="353"/>
      <c r="D4" s="353"/>
      <c r="E4" s="353"/>
      <c r="F4" s="353"/>
      <c r="G4" s="353"/>
      <c r="H4" s="368"/>
    </row>
    <row r="5" spans="1:8" ht="12.75">
      <c r="A5" s="354"/>
      <c r="B5" s="353"/>
      <c r="C5" s="353"/>
      <c r="D5" s="353"/>
      <c r="E5" s="353"/>
      <c r="F5" s="353"/>
      <c r="G5" s="353" t="s">
        <v>130</v>
      </c>
      <c r="H5" s="368"/>
    </row>
    <row r="6" spans="1:8" ht="12.75">
      <c r="A6" s="358"/>
      <c r="B6" s="366"/>
      <c r="C6" s="366"/>
      <c r="D6" s="366"/>
      <c r="E6" s="366"/>
      <c r="F6" s="366"/>
      <c r="G6" s="366" t="s">
        <v>132</v>
      </c>
      <c r="H6" s="370"/>
    </row>
    <row r="7" spans="1:8" ht="12.75">
      <c r="A7" s="358"/>
      <c r="B7" s="366"/>
      <c r="C7" s="366"/>
      <c r="D7" s="366"/>
      <c r="E7" s="366"/>
      <c r="F7" s="366"/>
      <c r="G7" s="366" t="s">
        <v>133</v>
      </c>
      <c r="H7" s="370"/>
    </row>
    <row r="8" spans="1:8" ht="12.75">
      <c r="A8" s="358" t="s">
        <v>296</v>
      </c>
      <c r="B8" s="366"/>
      <c r="C8" s="366"/>
      <c r="D8" s="366"/>
      <c r="E8" s="366"/>
      <c r="F8" s="366"/>
      <c r="G8" s="366"/>
      <c r="H8" s="370"/>
    </row>
    <row r="9" spans="1:8" ht="12.75">
      <c r="A9" s="358"/>
      <c r="B9" s="366" t="s">
        <v>10</v>
      </c>
      <c r="C9" s="367">
        <v>37413</v>
      </c>
      <c r="D9" s="367">
        <v>37426</v>
      </c>
      <c r="E9" s="367">
        <v>37462</v>
      </c>
      <c r="F9" s="366">
        <v>49</v>
      </c>
      <c r="G9" s="366" t="s">
        <v>130</v>
      </c>
      <c r="H9" s="370">
        <v>41000</v>
      </c>
    </row>
    <row r="10" spans="1:8" ht="12.75">
      <c r="A10" s="358"/>
      <c r="B10" s="366"/>
      <c r="C10" s="366"/>
      <c r="D10" s="366"/>
      <c r="E10" s="366"/>
      <c r="F10" s="366"/>
      <c r="G10" s="366" t="s">
        <v>132</v>
      </c>
      <c r="H10" s="370"/>
    </row>
    <row r="11" spans="1:8" ht="12.75">
      <c r="A11" s="358"/>
      <c r="B11" s="366"/>
      <c r="C11" s="366"/>
      <c r="D11" s="366"/>
      <c r="E11" s="366"/>
      <c r="F11" s="366"/>
      <c r="G11" s="366" t="s">
        <v>133</v>
      </c>
      <c r="H11" s="370"/>
    </row>
    <row r="12" spans="1:8" ht="12.75">
      <c r="A12" s="358"/>
      <c r="B12" s="366" t="s">
        <v>444</v>
      </c>
      <c r="C12" s="367">
        <v>37299</v>
      </c>
      <c r="D12" s="367">
        <v>37313</v>
      </c>
      <c r="E12" s="367">
        <v>37316</v>
      </c>
      <c r="F12" s="366">
        <v>17</v>
      </c>
      <c r="G12" s="366" t="s">
        <v>130</v>
      </c>
      <c r="H12" s="370">
        <v>56000</v>
      </c>
    </row>
    <row r="13" spans="1:8" ht="12.75">
      <c r="A13" s="358"/>
      <c r="B13" s="366"/>
      <c r="C13" s="366"/>
      <c r="D13" s="366"/>
      <c r="E13" s="366"/>
      <c r="F13" s="366"/>
      <c r="G13" s="366" t="s">
        <v>132</v>
      </c>
      <c r="H13" s="370"/>
    </row>
    <row r="14" spans="1:8" ht="12.75">
      <c r="A14" s="358"/>
      <c r="B14" s="366"/>
      <c r="C14" s="366"/>
      <c r="D14" s="366"/>
      <c r="E14" s="366"/>
      <c r="F14" s="366"/>
      <c r="G14" s="366" t="s">
        <v>133</v>
      </c>
      <c r="H14" s="370"/>
    </row>
    <row r="15" spans="1:8" ht="12.75">
      <c r="A15" s="358" t="s">
        <v>123</v>
      </c>
      <c r="B15" s="366"/>
      <c r="C15" s="366"/>
      <c r="D15" s="366"/>
      <c r="E15" s="366"/>
      <c r="F15" s="366"/>
      <c r="G15" s="366"/>
      <c r="H15" s="370"/>
    </row>
    <row r="16" spans="1:8" ht="12.75">
      <c r="A16" s="358"/>
      <c r="B16" s="366" t="s">
        <v>103</v>
      </c>
      <c r="C16" s="367">
        <v>37261</v>
      </c>
      <c r="D16" s="367">
        <v>37305</v>
      </c>
      <c r="E16" s="367">
        <v>37373</v>
      </c>
      <c r="F16" s="366">
        <v>112</v>
      </c>
      <c r="G16" s="366" t="s">
        <v>130</v>
      </c>
      <c r="H16" s="370">
        <v>30000</v>
      </c>
    </row>
    <row r="17" spans="1:8" ht="12.75">
      <c r="A17" s="358"/>
      <c r="B17" s="366"/>
      <c r="C17" s="366"/>
      <c r="D17" s="366"/>
      <c r="E17" s="366"/>
      <c r="F17" s="366"/>
      <c r="G17" s="366" t="s">
        <v>132</v>
      </c>
      <c r="H17" s="370"/>
    </row>
    <row r="18" spans="1:8" ht="12.75">
      <c r="A18" s="358"/>
      <c r="B18" s="366"/>
      <c r="C18" s="366"/>
      <c r="D18" s="366"/>
      <c r="E18" s="366"/>
      <c r="F18" s="366"/>
      <c r="G18" s="366" t="s">
        <v>133</v>
      </c>
      <c r="H18" s="370"/>
    </row>
    <row r="19" spans="1:8" ht="12.75">
      <c r="A19" s="358" t="s">
        <v>215</v>
      </c>
      <c r="B19" s="366"/>
      <c r="C19" s="366"/>
      <c r="D19" s="366"/>
      <c r="E19" s="366"/>
      <c r="F19" s="366"/>
      <c r="G19" s="366"/>
      <c r="H19" s="370"/>
    </row>
    <row r="20" spans="1:8" ht="12.75">
      <c r="A20" s="358"/>
      <c r="B20" s="366" t="s">
        <v>197</v>
      </c>
      <c r="C20" s="367">
        <v>37165</v>
      </c>
      <c r="D20" s="366" t="s">
        <v>126</v>
      </c>
      <c r="E20" s="366"/>
      <c r="F20" s="366"/>
      <c r="G20" s="366" t="s">
        <v>130</v>
      </c>
      <c r="H20" s="370"/>
    </row>
    <row r="21" spans="1:8" ht="12.75">
      <c r="A21" s="358"/>
      <c r="B21" s="366"/>
      <c r="C21" s="366"/>
      <c r="D21" s="366"/>
      <c r="E21" s="366"/>
      <c r="F21" s="366"/>
      <c r="G21" s="366" t="s">
        <v>132</v>
      </c>
      <c r="H21" s="370">
        <v>208340</v>
      </c>
    </row>
    <row r="22" spans="1:8" ht="12.75">
      <c r="A22" s="358"/>
      <c r="B22" s="366"/>
      <c r="C22" s="366"/>
      <c r="D22" s="366"/>
      <c r="E22" s="366"/>
      <c r="F22" s="366"/>
      <c r="G22" s="366" t="s">
        <v>133</v>
      </c>
      <c r="H22" s="370"/>
    </row>
    <row r="23" spans="1:8" ht="12.75">
      <c r="A23" s="358" t="s">
        <v>48</v>
      </c>
      <c r="B23" s="366"/>
      <c r="C23" s="366"/>
      <c r="D23" s="366"/>
      <c r="E23" s="366"/>
      <c r="F23" s="366"/>
      <c r="G23" s="366"/>
      <c r="H23" s="370"/>
    </row>
    <row r="24" spans="1:8" ht="12.75">
      <c r="A24" s="358"/>
      <c r="B24" s="366" t="s">
        <v>197</v>
      </c>
      <c r="C24" s="367">
        <v>37428</v>
      </c>
      <c r="D24" s="367">
        <v>37481</v>
      </c>
      <c r="E24" s="367">
        <v>37489</v>
      </c>
      <c r="F24" s="366">
        <v>61</v>
      </c>
      <c r="G24" s="366" t="s">
        <v>130</v>
      </c>
      <c r="H24" s="370"/>
    </row>
    <row r="25" spans="1:8" ht="12.75">
      <c r="A25" s="358"/>
      <c r="B25" s="366"/>
      <c r="C25" s="366"/>
      <c r="D25" s="366"/>
      <c r="E25" s="366"/>
      <c r="F25" s="366"/>
      <c r="G25" s="366" t="s">
        <v>132</v>
      </c>
      <c r="H25" s="370">
        <v>233333.3333333333</v>
      </c>
    </row>
    <row r="26" spans="1:8" ht="12.75">
      <c r="A26" s="358"/>
      <c r="B26" s="366"/>
      <c r="C26" s="366"/>
      <c r="D26" s="366"/>
      <c r="E26" s="366"/>
      <c r="F26" s="366"/>
      <c r="G26" s="366" t="s">
        <v>133</v>
      </c>
      <c r="H26" s="370"/>
    </row>
    <row r="27" spans="1:8" ht="12.75">
      <c r="A27" s="358" t="s">
        <v>213</v>
      </c>
      <c r="B27" s="366"/>
      <c r="C27" s="366"/>
      <c r="D27" s="366"/>
      <c r="E27" s="366"/>
      <c r="F27" s="366"/>
      <c r="G27" s="366"/>
      <c r="H27" s="370"/>
    </row>
    <row r="28" spans="1:8" ht="12.75">
      <c r="A28" s="358"/>
      <c r="B28" s="366" t="s">
        <v>21</v>
      </c>
      <c r="C28" s="367">
        <v>37414</v>
      </c>
      <c r="D28" s="367">
        <v>37456</v>
      </c>
      <c r="E28" s="367">
        <v>37517</v>
      </c>
      <c r="F28" s="366">
        <v>103</v>
      </c>
      <c r="G28" s="366" t="s">
        <v>130</v>
      </c>
      <c r="H28" s="370">
        <v>61111.11111111111</v>
      </c>
    </row>
    <row r="29" spans="1:8" ht="12.75">
      <c r="A29" s="358"/>
      <c r="B29" s="366"/>
      <c r="C29" s="366"/>
      <c r="D29" s="366"/>
      <c r="E29" s="366"/>
      <c r="F29" s="366"/>
      <c r="G29" s="366" t="s">
        <v>132</v>
      </c>
      <c r="H29" s="370"/>
    </row>
    <row r="30" spans="1:8" ht="12.75">
      <c r="A30" s="358"/>
      <c r="B30" s="366"/>
      <c r="C30" s="366"/>
      <c r="D30" s="366"/>
      <c r="E30" s="366"/>
      <c r="F30" s="366"/>
      <c r="G30" s="366" t="s">
        <v>133</v>
      </c>
      <c r="H30" s="370"/>
    </row>
    <row r="31" spans="1:8" ht="12.75">
      <c r="A31" s="358"/>
      <c r="B31" s="366" t="s">
        <v>191</v>
      </c>
      <c r="C31" s="367">
        <v>37240</v>
      </c>
      <c r="D31" s="367">
        <v>37328</v>
      </c>
      <c r="E31" s="367">
        <v>37406</v>
      </c>
      <c r="F31" s="366">
        <v>166</v>
      </c>
      <c r="G31" s="366" t="s">
        <v>130</v>
      </c>
      <c r="H31" s="370">
        <v>220000</v>
      </c>
    </row>
    <row r="32" spans="1:8" ht="12.75">
      <c r="A32" s="358"/>
      <c r="B32" s="366"/>
      <c r="C32" s="366"/>
      <c r="D32" s="366"/>
      <c r="E32" s="366"/>
      <c r="F32" s="366"/>
      <c r="G32" s="366" t="s">
        <v>132</v>
      </c>
      <c r="H32" s="370"/>
    </row>
    <row r="33" spans="1:8" ht="12.75">
      <c r="A33" s="358"/>
      <c r="B33" s="366"/>
      <c r="C33" s="366"/>
      <c r="D33" s="366"/>
      <c r="E33" s="366"/>
      <c r="F33" s="366"/>
      <c r="G33" s="366" t="s">
        <v>133</v>
      </c>
      <c r="H33" s="370"/>
    </row>
    <row r="34" spans="1:8" ht="12.75">
      <c r="A34" s="358" t="s">
        <v>95</v>
      </c>
      <c r="B34" s="366"/>
      <c r="C34" s="366"/>
      <c r="D34" s="366"/>
      <c r="E34" s="366"/>
      <c r="F34" s="366"/>
      <c r="G34" s="366"/>
      <c r="H34" s="370"/>
    </row>
    <row r="35" spans="1:8" ht="12.75">
      <c r="A35" s="358"/>
      <c r="B35" s="366" t="s">
        <v>22</v>
      </c>
      <c r="C35" s="367">
        <v>37360</v>
      </c>
      <c r="D35" s="367">
        <v>37365</v>
      </c>
      <c r="E35" s="367">
        <v>37372</v>
      </c>
      <c r="F35" s="366">
        <v>12</v>
      </c>
      <c r="G35" s="366" t="s">
        <v>130</v>
      </c>
      <c r="H35" s="370"/>
    </row>
    <row r="36" spans="1:8" ht="12.75">
      <c r="A36" s="358"/>
      <c r="B36" s="366"/>
      <c r="C36" s="366"/>
      <c r="D36" s="366"/>
      <c r="E36" s="366"/>
      <c r="F36" s="366"/>
      <c r="G36" s="366" t="s">
        <v>132</v>
      </c>
      <c r="H36" s="370">
        <v>25000</v>
      </c>
    </row>
    <row r="37" spans="1:8" ht="12.75">
      <c r="A37" s="358"/>
      <c r="B37" s="366"/>
      <c r="C37" s="366"/>
      <c r="D37" s="366"/>
      <c r="E37" s="366"/>
      <c r="F37" s="366"/>
      <c r="G37" s="366" t="s">
        <v>133</v>
      </c>
      <c r="H37" s="370"/>
    </row>
    <row r="38" spans="1:8" ht="12.75">
      <c r="A38" s="358" t="s">
        <v>254</v>
      </c>
      <c r="B38" s="366"/>
      <c r="C38" s="366"/>
      <c r="D38" s="366"/>
      <c r="E38" s="366"/>
      <c r="F38" s="366"/>
      <c r="G38" s="366"/>
      <c r="H38" s="370"/>
    </row>
    <row r="39" spans="1:8" ht="12.75">
      <c r="A39" s="358"/>
      <c r="B39" s="366" t="s">
        <v>197</v>
      </c>
      <c r="C39" s="367">
        <v>37330</v>
      </c>
      <c r="D39" s="367">
        <v>37340</v>
      </c>
      <c r="E39" s="367">
        <v>37344</v>
      </c>
      <c r="F39" s="366">
        <v>14</v>
      </c>
      <c r="G39" s="366" t="s">
        <v>130</v>
      </c>
      <c r="H39" s="370"/>
    </row>
    <row r="40" spans="1:8" ht="12.75">
      <c r="A40" s="358"/>
      <c r="B40" s="366"/>
      <c r="C40" s="366"/>
      <c r="D40" s="366"/>
      <c r="E40" s="366"/>
      <c r="F40" s="366"/>
      <c r="G40" s="366" t="s">
        <v>132</v>
      </c>
      <c r="H40" s="370"/>
    </row>
    <row r="41" spans="1:8" ht="12.75">
      <c r="A41" s="358"/>
      <c r="B41" s="366"/>
      <c r="C41" s="366"/>
      <c r="D41" s="366"/>
      <c r="E41" s="366"/>
      <c r="F41" s="366"/>
      <c r="G41" s="366" t="s">
        <v>133</v>
      </c>
      <c r="H41" s="370">
        <v>300000</v>
      </c>
    </row>
    <row r="42" spans="1:8" ht="12.75">
      <c r="A42" s="358" t="s">
        <v>255</v>
      </c>
      <c r="B42" s="366"/>
      <c r="C42" s="366"/>
      <c r="D42" s="366"/>
      <c r="E42" s="366"/>
      <c r="F42" s="366"/>
      <c r="G42" s="366"/>
      <c r="H42" s="370"/>
    </row>
    <row r="43" spans="1:8" ht="12.75">
      <c r="A43" s="358"/>
      <c r="B43" s="366" t="s">
        <v>197</v>
      </c>
      <c r="C43" s="367">
        <v>37330</v>
      </c>
      <c r="D43" s="367">
        <v>37489</v>
      </c>
      <c r="E43" s="367">
        <v>37517</v>
      </c>
      <c r="F43" s="366">
        <v>187</v>
      </c>
      <c r="G43" s="366" t="s">
        <v>130</v>
      </c>
      <c r="H43" s="370"/>
    </row>
    <row r="44" spans="1:8" ht="12.75">
      <c r="A44" s="358"/>
      <c r="B44" s="366"/>
      <c r="C44" s="366"/>
      <c r="D44" s="366"/>
      <c r="E44" s="366"/>
      <c r="F44" s="366"/>
      <c r="G44" s="366" t="s">
        <v>132</v>
      </c>
      <c r="H44" s="370">
        <v>65000</v>
      </c>
    </row>
    <row r="45" spans="1:8" ht="12.75">
      <c r="A45" s="358"/>
      <c r="B45" s="366"/>
      <c r="C45" s="366"/>
      <c r="D45" s="366"/>
      <c r="E45" s="366"/>
      <c r="F45" s="366"/>
      <c r="G45" s="366" t="s">
        <v>133</v>
      </c>
      <c r="H45" s="370"/>
    </row>
    <row r="46" spans="1:8" ht="12.75">
      <c r="A46" s="358" t="s">
        <v>257</v>
      </c>
      <c r="B46" s="366"/>
      <c r="C46" s="366"/>
      <c r="D46" s="366"/>
      <c r="E46" s="366"/>
      <c r="F46" s="366"/>
      <c r="G46" s="366"/>
      <c r="H46" s="370"/>
    </row>
    <row r="47" spans="1:8" ht="12.75">
      <c r="A47" s="358"/>
      <c r="B47" s="366" t="s">
        <v>197</v>
      </c>
      <c r="C47" s="367">
        <v>37330</v>
      </c>
      <c r="D47" s="367">
        <v>37496</v>
      </c>
      <c r="E47" s="367">
        <v>37517</v>
      </c>
      <c r="F47" s="366">
        <v>187</v>
      </c>
      <c r="G47" s="366" t="s">
        <v>130</v>
      </c>
      <c r="H47" s="370"/>
    </row>
    <row r="48" spans="1:8" ht="12.75">
      <c r="A48" s="358"/>
      <c r="B48" s="366"/>
      <c r="C48" s="366"/>
      <c r="D48" s="366"/>
      <c r="E48" s="366"/>
      <c r="F48" s="366"/>
      <c r="G48" s="366" t="s">
        <v>132</v>
      </c>
      <c r="H48" s="370">
        <v>81340</v>
      </c>
    </row>
    <row r="49" spans="1:8" ht="12.75">
      <c r="A49" s="358"/>
      <c r="B49" s="366"/>
      <c r="C49" s="366"/>
      <c r="D49" s="366"/>
      <c r="E49" s="366"/>
      <c r="F49" s="366"/>
      <c r="G49" s="366" t="s">
        <v>133</v>
      </c>
      <c r="H49" s="370"/>
    </row>
    <row r="50" spans="1:8" ht="12.75">
      <c r="A50" s="358" t="s">
        <v>208</v>
      </c>
      <c r="B50" s="366"/>
      <c r="C50" s="366"/>
      <c r="D50" s="366"/>
      <c r="E50" s="366"/>
      <c r="F50" s="366"/>
      <c r="G50" s="366"/>
      <c r="H50" s="370"/>
    </row>
    <row r="51" spans="1:8" ht="12.75">
      <c r="A51" s="358"/>
      <c r="B51" s="366" t="s">
        <v>21</v>
      </c>
      <c r="C51" s="367">
        <v>37414</v>
      </c>
      <c r="D51" s="367">
        <v>37456</v>
      </c>
      <c r="E51" s="367">
        <v>37517</v>
      </c>
      <c r="F51" s="366">
        <v>103</v>
      </c>
      <c r="G51" s="366" t="s">
        <v>130</v>
      </c>
      <c r="H51" s="370">
        <v>394428.5714285714</v>
      </c>
    </row>
    <row r="52" spans="1:8" ht="12.75">
      <c r="A52" s="358"/>
      <c r="B52" s="366"/>
      <c r="C52" s="366"/>
      <c r="D52" s="366"/>
      <c r="E52" s="366"/>
      <c r="F52" s="366"/>
      <c r="G52" s="366" t="s">
        <v>132</v>
      </c>
      <c r="H52" s="370"/>
    </row>
    <row r="53" spans="1:8" ht="12.75">
      <c r="A53" s="358"/>
      <c r="B53" s="366"/>
      <c r="C53" s="366"/>
      <c r="D53" s="366"/>
      <c r="E53" s="366"/>
      <c r="F53" s="366"/>
      <c r="G53" s="366" t="s">
        <v>133</v>
      </c>
      <c r="H53" s="370"/>
    </row>
    <row r="54" spans="1:8" ht="12.75">
      <c r="A54" s="358" t="s">
        <v>136</v>
      </c>
      <c r="B54" s="366"/>
      <c r="C54" s="366"/>
      <c r="D54" s="366"/>
      <c r="E54" s="366"/>
      <c r="F54" s="366"/>
      <c r="G54" s="366"/>
      <c r="H54" s="370"/>
    </row>
    <row r="55" spans="1:8" ht="12.75">
      <c r="A55" s="358"/>
      <c r="B55" s="366" t="s">
        <v>10</v>
      </c>
      <c r="C55" s="367">
        <v>37413</v>
      </c>
      <c r="D55" s="367">
        <v>37426</v>
      </c>
      <c r="E55" s="367">
        <v>37511</v>
      </c>
      <c r="F55" s="366">
        <v>98</v>
      </c>
      <c r="G55" s="366" t="s">
        <v>130</v>
      </c>
      <c r="H55" s="370"/>
    </row>
    <row r="56" spans="1:8" ht="12.75">
      <c r="A56" s="358"/>
      <c r="B56" s="366"/>
      <c r="C56" s="366"/>
      <c r="D56" s="366"/>
      <c r="E56" s="366"/>
      <c r="F56" s="366"/>
      <c r="G56" s="366" t="s">
        <v>132</v>
      </c>
      <c r="H56" s="370">
        <v>150000</v>
      </c>
    </row>
    <row r="57" spans="1:8" ht="12.75">
      <c r="A57" s="358"/>
      <c r="B57" s="366"/>
      <c r="C57" s="366"/>
      <c r="D57" s="366"/>
      <c r="E57" s="366"/>
      <c r="F57" s="366"/>
      <c r="G57" s="366" t="s">
        <v>133</v>
      </c>
      <c r="H57" s="370"/>
    </row>
    <row r="58" spans="1:8" ht="12.75">
      <c r="A58" s="358" t="s">
        <v>107</v>
      </c>
      <c r="B58" s="366"/>
      <c r="C58" s="366"/>
      <c r="D58" s="366"/>
      <c r="E58" s="366"/>
      <c r="F58" s="366"/>
      <c r="G58" s="366"/>
      <c r="H58" s="370"/>
    </row>
    <row r="59" spans="1:8" ht="12.75">
      <c r="A59" s="358"/>
      <c r="B59" s="366" t="s">
        <v>8</v>
      </c>
      <c r="C59" s="367">
        <v>37165</v>
      </c>
      <c r="D59" s="367">
        <v>37179</v>
      </c>
      <c r="E59" s="367">
        <v>37373</v>
      </c>
      <c r="F59" s="366">
        <v>208</v>
      </c>
      <c r="G59" s="366" t="s">
        <v>130</v>
      </c>
      <c r="H59" s="370"/>
    </row>
    <row r="60" spans="1:8" ht="12.75">
      <c r="A60" s="358"/>
      <c r="B60" s="366"/>
      <c r="C60" s="366"/>
      <c r="D60" s="366"/>
      <c r="E60" s="366"/>
      <c r="F60" s="366"/>
      <c r="G60" s="366" t="s">
        <v>132</v>
      </c>
      <c r="H60" s="370">
        <v>29000</v>
      </c>
    </row>
    <row r="61" spans="1:8" ht="12.75">
      <c r="A61" s="358"/>
      <c r="B61" s="366"/>
      <c r="C61" s="366"/>
      <c r="D61" s="366"/>
      <c r="E61" s="366"/>
      <c r="F61" s="366"/>
      <c r="G61" s="366" t="s">
        <v>133</v>
      </c>
      <c r="H61" s="370"/>
    </row>
    <row r="62" spans="1:8" ht="12.75">
      <c r="A62" s="358"/>
      <c r="B62" s="366"/>
      <c r="C62" s="367">
        <v>37420</v>
      </c>
      <c r="D62" s="367">
        <v>37425</v>
      </c>
      <c r="E62" s="367">
        <v>37487</v>
      </c>
      <c r="F62" s="366">
        <v>67</v>
      </c>
      <c r="G62" s="366" t="s">
        <v>130</v>
      </c>
      <c r="H62" s="370"/>
    </row>
    <row r="63" spans="1:8" ht="12.75">
      <c r="A63" s="358"/>
      <c r="B63" s="366"/>
      <c r="C63" s="366"/>
      <c r="D63" s="366"/>
      <c r="E63" s="366"/>
      <c r="F63" s="366"/>
      <c r="G63" s="366" t="s">
        <v>132</v>
      </c>
      <c r="H63" s="370">
        <v>370000</v>
      </c>
    </row>
    <row r="64" spans="1:8" ht="12.75">
      <c r="A64" s="358"/>
      <c r="B64" s="366"/>
      <c r="C64" s="366"/>
      <c r="D64" s="366"/>
      <c r="E64" s="366"/>
      <c r="F64" s="366"/>
      <c r="G64" s="366" t="s">
        <v>133</v>
      </c>
      <c r="H64" s="370"/>
    </row>
    <row r="65" spans="1:8" ht="12.75">
      <c r="A65" s="358"/>
      <c r="B65" s="366" t="s">
        <v>367</v>
      </c>
      <c r="C65" s="367">
        <v>36951</v>
      </c>
      <c r="D65" s="367">
        <v>37302</v>
      </c>
      <c r="E65" s="367">
        <v>37321</v>
      </c>
      <c r="F65" s="366">
        <v>370</v>
      </c>
      <c r="G65" s="366" t="s">
        <v>130</v>
      </c>
      <c r="H65" s="370"/>
    </row>
    <row r="66" spans="1:8" ht="12.75">
      <c r="A66" s="358"/>
      <c r="B66" s="366"/>
      <c r="C66" s="366"/>
      <c r="D66" s="366"/>
      <c r="E66" s="366"/>
      <c r="F66" s="366"/>
      <c r="G66" s="366" t="s">
        <v>132</v>
      </c>
      <c r="H66" s="370">
        <v>370000</v>
      </c>
    </row>
    <row r="67" spans="1:8" ht="12.75">
      <c r="A67" s="358"/>
      <c r="B67" s="366"/>
      <c r="C67" s="366"/>
      <c r="D67" s="366"/>
      <c r="E67" s="366"/>
      <c r="F67" s="366"/>
      <c r="G67" s="366" t="s">
        <v>133</v>
      </c>
      <c r="H67" s="370"/>
    </row>
    <row r="68" spans="1:8" ht="12.75">
      <c r="A68" s="358" t="s">
        <v>260</v>
      </c>
      <c r="B68" s="366"/>
      <c r="C68" s="366"/>
      <c r="D68" s="366"/>
      <c r="E68" s="366"/>
      <c r="F68" s="366"/>
      <c r="G68" s="366"/>
      <c r="H68" s="370"/>
    </row>
    <row r="69" spans="1:8" ht="12.75">
      <c r="A69" s="358"/>
      <c r="B69" s="366" t="s">
        <v>10</v>
      </c>
      <c r="C69" s="367">
        <v>37330</v>
      </c>
      <c r="D69" s="367">
        <v>37359</v>
      </c>
      <c r="E69" s="367">
        <v>37373</v>
      </c>
      <c r="F69" s="366">
        <v>43</v>
      </c>
      <c r="G69" s="366" t="s">
        <v>130</v>
      </c>
      <c r="H69" s="370"/>
    </row>
    <row r="70" spans="1:8" ht="12.75">
      <c r="A70" s="358"/>
      <c r="B70" s="366"/>
      <c r="C70" s="366"/>
      <c r="D70" s="366"/>
      <c r="E70" s="366"/>
      <c r="F70" s="366"/>
      <c r="G70" s="366" t="s">
        <v>132</v>
      </c>
      <c r="H70" s="370"/>
    </row>
    <row r="71" spans="1:8" ht="12.75">
      <c r="A71" s="358"/>
      <c r="B71" s="366"/>
      <c r="C71" s="366"/>
      <c r="D71" s="366"/>
      <c r="E71" s="366"/>
      <c r="F71" s="366"/>
      <c r="G71" s="366" t="s">
        <v>133</v>
      </c>
      <c r="H71" s="370">
        <v>18200</v>
      </c>
    </row>
    <row r="72" spans="1:8" ht="12.75">
      <c r="A72" s="358"/>
      <c r="B72" s="366" t="s">
        <v>8</v>
      </c>
      <c r="C72" s="367">
        <v>37316</v>
      </c>
      <c r="D72" s="367">
        <v>37406</v>
      </c>
      <c r="E72" s="367">
        <v>37414</v>
      </c>
      <c r="F72" s="366">
        <v>98</v>
      </c>
      <c r="G72" s="366" t="s">
        <v>130</v>
      </c>
      <c r="H72" s="370"/>
    </row>
    <row r="73" spans="1:8" ht="12.75">
      <c r="A73" s="358"/>
      <c r="B73" s="366"/>
      <c r="C73" s="366"/>
      <c r="D73" s="366"/>
      <c r="E73" s="366"/>
      <c r="F73" s="366"/>
      <c r="G73" s="366" t="s">
        <v>132</v>
      </c>
      <c r="H73" s="370"/>
    </row>
    <row r="74" spans="1:8" ht="12.75">
      <c r="A74" s="358"/>
      <c r="B74" s="366"/>
      <c r="C74" s="366"/>
      <c r="D74" s="366"/>
      <c r="E74" s="366"/>
      <c r="F74" s="366"/>
      <c r="G74" s="366" t="s">
        <v>133</v>
      </c>
      <c r="H74" s="370">
        <v>22500</v>
      </c>
    </row>
    <row r="75" spans="1:8" ht="12.75">
      <c r="A75" s="358"/>
      <c r="B75" s="366"/>
      <c r="C75" s="367">
        <v>37358</v>
      </c>
      <c r="D75" s="367">
        <v>37365</v>
      </c>
      <c r="E75" s="367">
        <v>37372</v>
      </c>
      <c r="F75" s="366">
        <v>14</v>
      </c>
      <c r="G75" s="366" t="s">
        <v>130</v>
      </c>
      <c r="H75" s="370"/>
    </row>
    <row r="76" spans="1:8" ht="12.75">
      <c r="A76" s="358"/>
      <c r="B76" s="366"/>
      <c r="C76" s="366"/>
      <c r="D76" s="366"/>
      <c r="E76" s="366"/>
      <c r="F76" s="366"/>
      <c r="G76" s="366" t="s">
        <v>132</v>
      </c>
      <c r="H76" s="370"/>
    </row>
    <row r="77" spans="1:8" ht="12.75">
      <c r="A77" s="358"/>
      <c r="B77" s="366"/>
      <c r="C77" s="366"/>
      <c r="D77" s="366"/>
      <c r="E77" s="366"/>
      <c r="F77" s="366"/>
      <c r="G77" s="366" t="s">
        <v>133</v>
      </c>
      <c r="H77" s="370">
        <v>84000</v>
      </c>
    </row>
    <row r="78" spans="1:8" ht="12.75">
      <c r="A78" s="358"/>
      <c r="B78" s="366"/>
      <c r="C78" s="367">
        <v>37408</v>
      </c>
      <c r="D78" s="367">
        <v>37408</v>
      </c>
      <c r="E78" s="367">
        <v>37438</v>
      </c>
      <c r="F78" s="366">
        <v>30</v>
      </c>
      <c r="G78" s="366" t="s">
        <v>130</v>
      </c>
      <c r="H78" s="370"/>
    </row>
    <row r="79" spans="1:8" ht="12.75">
      <c r="A79" s="358"/>
      <c r="B79" s="366"/>
      <c r="C79" s="366"/>
      <c r="D79" s="366"/>
      <c r="E79" s="366"/>
      <c r="F79" s="366"/>
      <c r="G79" s="366" t="s">
        <v>132</v>
      </c>
      <c r="H79" s="370"/>
    </row>
    <row r="80" spans="1:8" ht="12.75">
      <c r="A80" s="358"/>
      <c r="B80" s="366"/>
      <c r="C80" s="366"/>
      <c r="D80" s="366"/>
      <c r="E80" s="366"/>
      <c r="F80" s="366"/>
      <c r="G80" s="366" t="s">
        <v>133</v>
      </c>
      <c r="H80" s="370">
        <v>48000</v>
      </c>
    </row>
    <row r="81" spans="1:8" ht="12.75">
      <c r="A81" s="358" t="s">
        <v>89</v>
      </c>
      <c r="B81" s="366"/>
      <c r="C81" s="366"/>
      <c r="D81" s="366"/>
      <c r="E81" s="366"/>
      <c r="F81" s="366"/>
      <c r="G81" s="366"/>
      <c r="H81" s="370"/>
    </row>
    <row r="82" spans="1:8" ht="12.75">
      <c r="A82" s="358"/>
      <c r="B82" s="366" t="s">
        <v>22</v>
      </c>
      <c r="C82" s="367">
        <v>37347</v>
      </c>
      <c r="D82" s="367">
        <v>37358</v>
      </c>
      <c r="E82" s="367">
        <v>37365</v>
      </c>
      <c r="F82" s="366">
        <v>18</v>
      </c>
      <c r="G82" s="366" t="s">
        <v>130</v>
      </c>
      <c r="H82" s="370"/>
    </row>
    <row r="83" spans="1:8" ht="12.75">
      <c r="A83" s="358"/>
      <c r="B83" s="366"/>
      <c r="C83" s="366"/>
      <c r="D83" s="366"/>
      <c r="E83" s="366"/>
      <c r="F83" s="366"/>
      <c r="G83" s="366" t="s">
        <v>132</v>
      </c>
      <c r="H83" s="370">
        <v>250000</v>
      </c>
    </row>
    <row r="84" spans="1:8" ht="12.75">
      <c r="A84" s="358"/>
      <c r="B84" s="366"/>
      <c r="C84" s="366"/>
      <c r="D84" s="366"/>
      <c r="E84" s="366"/>
      <c r="F84" s="366"/>
      <c r="G84" s="366" t="s">
        <v>133</v>
      </c>
      <c r="H84" s="370"/>
    </row>
    <row r="85" spans="1:8" ht="12.75">
      <c r="A85" s="358"/>
      <c r="B85" s="366"/>
      <c r="C85" s="367">
        <v>37360</v>
      </c>
      <c r="D85" s="367">
        <v>37365</v>
      </c>
      <c r="E85" s="367">
        <v>37372</v>
      </c>
      <c r="F85" s="366">
        <v>12</v>
      </c>
      <c r="G85" s="366" t="s">
        <v>130</v>
      </c>
      <c r="H85" s="370"/>
    </row>
    <row r="86" spans="1:8" ht="12.75">
      <c r="A86" s="358"/>
      <c r="B86" s="366"/>
      <c r="C86" s="366"/>
      <c r="D86" s="366"/>
      <c r="E86" s="366"/>
      <c r="F86" s="366"/>
      <c r="G86" s="366" t="s">
        <v>132</v>
      </c>
      <c r="H86" s="370">
        <v>120000</v>
      </c>
    </row>
    <row r="87" spans="1:8" ht="12.75">
      <c r="A87" s="358"/>
      <c r="B87" s="366"/>
      <c r="C87" s="366"/>
      <c r="D87" s="366"/>
      <c r="E87" s="366"/>
      <c r="F87" s="366"/>
      <c r="G87" s="366" t="s">
        <v>133</v>
      </c>
      <c r="H87" s="370"/>
    </row>
    <row r="88" spans="1:8" ht="12.75">
      <c r="A88" s="358"/>
      <c r="B88" s="366" t="s">
        <v>370</v>
      </c>
      <c r="C88" s="367">
        <v>37334</v>
      </c>
      <c r="D88" s="367">
        <v>37341</v>
      </c>
      <c r="E88" s="367">
        <v>37435</v>
      </c>
      <c r="F88" s="366">
        <v>101</v>
      </c>
      <c r="G88" s="366" t="s">
        <v>130</v>
      </c>
      <c r="H88" s="370"/>
    </row>
    <row r="89" spans="1:8" ht="12.75">
      <c r="A89" s="358"/>
      <c r="B89" s="366"/>
      <c r="C89" s="366"/>
      <c r="D89" s="366"/>
      <c r="E89" s="366"/>
      <c r="F89" s="366"/>
      <c r="G89" s="366" t="s">
        <v>132</v>
      </c>
      <c r="H89" s="370">
        <v>30000</v>
      </c>
    </row>
    <row r="90" spans="1:8" ht="12.75">
      <c r="A90" s="358"/>
      <c r="B90" s="366"/>
      <c r="C90" s="366"/>
      <c r="D90" s="366"/>
      <c r="E90" s="366"/>
      <c r="F90" s="366"/>
      <c r="G90" s="366" t="s">
        <v>133</v>
      </c>
      <c r="H90" s="370"/>
    </row>
    <row r="91" spans="1:8" ht="12.75">
      <c r="A91" s="358"/>
      <c r="B91" s="366" t="s">
        <v>8</v>
      </c>
      <c r="C91" s="367">
        <v>37316</v>
      </c>
      <c r="D91" s="367">
        <v>37407</v>
      </c>
      <c r="E91" s="367">
        <v>37414</v>
      </c>
      <c r="F91" s="366">
        <v>98</v>
      </c>
      <c r="G91" s="366" t="s">
        <v>130</v>
      </c>
      <c r="H91" s="370"/>
    </row>
    <row r="92" spans="1:8" ht="12.75">
      <c r="A92" s="358"/>
      <c r="B92" s="366"/>
      <c r="C92" s="366"/>
      <c r="D92" s="366"/>
      <c r="E92" s="366"/>
      <c r="F92" s="366"/>
      <c r="G92" s="366" t="s">
        <v>132</v>
      </c>
      <c r="H92" s="370">
        <v>80000</v>
      </c>
    </row>
    <row r="93" spans="1:8" ht="12.75">
      <c r="A93" s="358"/>
      <c r="B93" s="366"/>
      <c r="C93" s="366"/>
      <c r="D93" s="366"/>
      <c r="E93" s="366"/>
      <c r="F93" s="366"/>
      <c r="G93" s="366" t="s">
        <v>133</v>
      </c>
      <c r="H93" s="370"/>
    </row>
    <row r="94" spans="1:8" ht="12.75">
      <c r="A94" s="358" t="s">
        <v>47</v>
      </c>
      <c r="B94" s="366"/>
      <c r="C94" s="366"/>
      <c r="D94" s="366"/>
      <c r="E94" s="366"/>
      <c r="F94" s="366"/>
      <c r="G94" s="366"/>
      <c r="H94" s="370"/>
    </row>
    <row r="95" spans="1:8" ht="12.75">
      <c r="A95" s="358"/>
      <c r="B95" s="366" t="s">
        <v>447</v>
      </c>
      <c r="C95" s="367">
        <v>37305</v>
      </c>
      <c r="D95" s="367">
        <v>37336</v>
      </c>
      <c r="E95" s="367">
        <v>37383</v>
      </c>
      <c r="F95" s="366">
        <v>78</v>
      </c>
      <c r="G95" s="366" t="s">
        <v>130</v>
      </c>
      <c r="H95" s="370"/>
    </row>
    <row r="96" spans="1:8" ht="12.75">
      <c r="A96" s="358"/>
      <c r="B96" s="366"/>
      <c r="C96" s="366"/>
      <c r="D96" s="366"/>
      <c r="E96" s="366"/>
      <c r="F96" s="366"/>
      <c r="G96" s="366" t="s">
        <v>132</v>
      </c>
      <c r="H96" s="370">
        <v>42000</v>
      </c>
    </row>
    <row r="97" spans="1:8" ht="12.75">
      <c r="A97" s="358"/>
      <c r="B97" s="366"/>
      <c r="C97" s="366"/>
      <c r="D97" s="366"/>
      <c r="E97" s="366"/>
      <c r="F97" s="366"/>
      <c r="G97" s="366" t="s">
        <v>133</v>
      </c>
      <c r="H97" s="370"/>
    </row>
    <row r="98" spans="1:8" ht="12.75">
      <c r="A98" s="354" t="s">
        <v>131</v>
      </c>
      <c r="B98" s="353"/>
      <c r="C98" s="353"/>
      <c r="D98" s="353"/>
      <c r="E98" s="353"/>
      <c r="F98" s="353"/>
      <c r="G98" s="353"/>
      <c r="H98" s="368">
        <v>802539.6825396826</v>
      </c>
    </row>
    <row r="99" spans="1:8" ht="12.75">
      <c r="A99" s="354" t="s">
        <v>134</v>
      </c>
      <c r="B99" s="353"/>
      <c r="C99" s="353"/>
      <c r="D99" s="353"/>
      <c r="E99" s="353"/>
      <c r="F99" s="353"/>
      <c r="G99" s="353"/>
      <c r="H99" s="368">
        <v>2054013.3333333333</v>
      </c>
    </row>
    <row r="100" spans="1:8" ht="12.75">
      <c r="A100" s="355" t="s">
        <v>135</v>
      </c>
      <c r="B100" s="359"/>
      <c r="C100" s="359"/>
      <c r="D100" s="359"/>
      <c r="E100" s="359"/>
      <c r="F100" s="359"/>
      <c r="G100" s="359"/>
      <c r="H100" s="369">
        <v>472700</v>
      </c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workbookViewId="0" topLeftCell="A1">
      <pane ySplit="2" topLeftCell="BM27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4.00390625" style="19" customWidth="1"/>
    <col min="2" max="3" width="8.140625" style="168" customWidth="1"/>
    <col min="4" max="4" width="8.00390625" style="168" customWidth="1"/>
    <col min="5" max="5" width="6.421875" style="168" bestFit="1" customWidth="1"/>
    <col min="6" max="6" width="26.8515625" style="19" bestFit="1" customWidth="1"/>
    <col min="7" max="7" width="39.140625" style="22" customWidth="1"/>
    <col min="8" max="8" width="12.140625" style="22" customWidth="1"/>
    <col min="9" max="9" width="14.7109375" style="19" customWidth="1"/>
    <col min="10" max="10" width="1.421875" style="19" customWidth="1"/>
    <col min="11" max="11" width="36.140625" style="22" customWidth="1"/>
    <col min="12" max="16384" width="9.140625" style="19" customWidth="1"/>
  </cols>
  <sheetData>
    <row r="1" spans="1:8" ht="15.75">
      <c r="A1" s="49" t="s">
        <v>398</v>
      </c>
      <c r="B1" s="14"/>
      <c r="C1" s="14"/>
      <c r="D1" s="165"/>
      <c r="E1" s="165"/>
      <c r="G1" s="39"/>
      <c r="H1" s="50"/>
    </row>
    <row r="2" spans="1:11" s="36" customFormat="1" ht="28.5" customHeight="1">
      <c r="A2" s="35" t="s">
        <v>390</v>
      </c>
      <c r="B2" s="12" t="s">
        <v>231</v>
      </c>
      <c r="C2" s="12" t="s">
        <v>381</v>
      </c>
      <c r="D2" s="12" t="s">
        <v>214</v>
      </c>
      <c r="E2" s="12" t="s">
        <v>233</v>
      </c>
      <c r="F2" s="11" t="s">
        <v>386</v>
      </c>
      <c r="G2" s="13" t="s">
        <v>379</v>
      </c>
      <c r="H2" s="12" t="s">
        <v>404</v>
      </c>
      <c r="I2" s="31" t="s">
        <v>389</v>
      </c>
      <c r="J2" s="31"/>
      <c r="K2" s="31" t="s">
        <v>394</v>
      </c>
    </row>
    <row r="3" spans="1:11" ht="6" customHeight="1">
      <c r="A3" s="158">
        <v>0</v>
      </c>
      <c r="B3" s="166"/>
      <c r="C3" s="166"/>
      <c r="D3" s="166"/>
      <c r="E3" s="167"/>
      <c r="F3" s="20"/>
      <c r="G3" s="170"/>
      <c r="H3" s="40"/>
      <c r="I3" s="29"/>
      <c r="J3" s="46"/>
      <c r="K3" s="43"/>
    </row>
    <row r="4" spans="1:11" ht="12.75">
      <c r="A4" s="158">
        <f aca="true" t="shared" si="0" ref="A4:A49">A3+1</f>
        <v>1</v>
      </c>
      <c r="B4" s="166">
        <v>37210</v>
      </c>
      <c r="C4" s="166" t="s">
        <v>216</v>
      </c>
      <c r="D4" s="166">
        <v>37313</v>
      </c>
      <c r="E4" s="167">
        <f aca="true" t="shared" si="1" ref="E4:E49">D4-B4</f>
        <v>103</v>
      </c>
      <c r="F4" s="17" t="s">
        <v>310</v>
      </c>
      <c r="G4" s="20" t="s">
        <v>267</v>
      </c>
      <c r="H4" s="33" t="s">
        <v>197</v>
      </c>
      <c r="I4" s="28">
        <v>124500</v>
      </c>
      <c r="J4" s="46"/>
      <c r="K4" s="20"/>
    </row>
    <row r="5" spans="1:11" ht="12.75">
      <c r="A5" s="158">
        <f t="shared" si="0"/>
        <v>2</v>
      </c>
      <c r="B5" s="166">
        <v>37235</v>
      </c>
      <c r="C5" s="166">
        <v>37250</v>
      </c>
      <c r="D5" s="166">
        <v>37396</v>
      </c>
      <c r="E5" s="167">
        <f t="shared" si="1"/>
        <v>161</v>
      </c>
      <c r="F5" s="17" t="s">
        <v>311</v>
      </c>
      <c r="G5" s="20" t="s">
        <v>241</v>
      </c>
      <c r="H5" s="40" t="s">
        <v>197</v>
      </c>
      <c r="I5" s="29">
        <v>37000</v>
      </c>
      <c r="J5" s="54"/>
      <c r="K5" s="246"/>
    </row>
    <row r="6" spans="1:11" ht="25.5">
      <c r="A6" s="158">
        <f t="shared" si="0"/>
        <v>3</v>
      </c>
      <c r="B6" s="166">
        <v>37253</v>
      </c>
      <c r="C6" s="166">
        <v>37280</v>
      </c>
      <c r="D6" s="166">
        <v>37292</v>
      </c>
      <c r="E6" s="167">
        <f t="shared" si="1"/>
        <v>39</v>
      </c>
      <c r="F6" s="20" t="s">
        <v>312</v>
      </c>
      <c r="G6" s="18" t="s">
        <v>268</v>
      </c>
      <c r="H6" s="40" t="s">
        <v>405</v>
      </c>
      <c r="I6" s="29">
        <v>125000</v>
      </c>
      <c r="J6" s="46"/>
      <c r="K6" s="43"/>
    </row>
    <row r="7" spans="1:11" ht="12.75">
      <c r="A7" s="158">
        <f t="shared" si="0"/>
        <v>4</v>
      </c>
      <c r="B7" s="166">
        <v>37254</v>
      </c>
      <c r="C7" s="166">
        <v>37264</v>
      </c>
      <c r="D7" s="166">
        <v>37298</v>
      </c>
      <c r="E7" s="167">
        <f t="shared" si="1"/>
        <v>44</v>
      </c>
      <c r="F7" s="17" t="s">
        <v>24</v>
      </c>
      <c r="G7" s="18" t="s">
        <v>49</v>
      </c>
      <c r="H7" s="40" t="s">
        <v>7</v>
      </c>
      <c r="I7" s="29">
        <v>75000</v>
      </c>
      <c r="J7" s="46"/>
      <c r="K7" s="43"/>
    </row>
    <row r="8" spans="1:11" ht="12.75">
      <c r="A8" s="158">
        <f t="shared" si="0"/>
        <v>5</v>
      </c>
      <c r="B8" s="166">
        <v>37259</v>
      </c>
      <c r="C8" s="166">
        <v>37288</v>
      </c>
      <c r="D8" s="166">
        <v>37307</v>
      </c>
      <c r="E8" s="167">
        <f t="shared" si="1"/>
        <v>48</v>
      </c>
      <c r="F8" s="20" t="s">
        <v>313</v>
      </c>
      <c r="G8" s="20" t="s">
        <v>407</v>
      </c>
      <c r="H8" s="64" t="s">
        <v>249</v>
      </c>
      <c r="I8" s="29">
        <v>1245000</v>
      </c>
      <c r="J8" s="46"/>
      <c r="K8" s="20"/>
    </row>
    <row r="9" spans="1:11" ht="12.75">
      <c r="A9" s="158">
        <f t="shared" si="0"/>
        <v>6</v>
      </c>
      <c r="B9" s="166">
        <v>37261</v>
      </c>
      <c r="C9" s="166">
        <v>37281</v>
      </c>
      <c r="D9" s="166">
        <v>37302</v>
      </c>
      <c r="E9" s="167">
        <f t="shared" si="1"/>
        <v>41</v>
      </c>
      <c r="F9" s="26" t="s">
        <v>308</v>
      </c>
      <c r="G9" s="20" t="s">
        <v>242</v>
      </c>
      <c r="H9" s="40" t="s">
        <v>405</v>
      </c>
      <c r="I9" s="29">
        <v>124500</v>
      </c>
      <c r="J9" s="46"/>
      <c r="K9" s="43"/>
    </row>
    <row r="10" spans="1:11" ht="12.75">
      <c r="A10" s="158">
        <f t="shared" si="0"/>
        <v>7</v>
      </c>
      <c r="B10" s="166">
        <v>37267</v>
      </c>
      <c r="C10" s="166">
        <v>37285</v>
      </c>
      <c r="D10" s="166">
        <v>37375</v>
      </c>
      <c r="E10" s="167">
        <f t="shared" si="1"/>
        <v>108</v>
      </c>
      <c r="F10" s="20" t="s">
        <v>314</v>
      </c>
      <c r="G10" s="20" t="s">
        <v>269</v>
      </c>
      <c r="H10" s="64" t="s">
        <v>249</v>
      </c>
      <c r="I10" s="29">
        <f>33000*1.2</f>
        <v>39600</v>
      </c>
      <c r="J10" s="54"/>
      <c r="K10" s="246"/>
    </row>
    <row r="11" spans="1:11" ht="12.75">
      <c r="A11" s="158">
        <f t="shared" si="0"/>
        <v>8</v>
      </c>
      <c r="B11" s="166">
        <v>37270</v>
      </c>
      <c r="C11" s="166">
        <v>37295</v>
      </c>
      <c r="D11" s="166">
        <v>37375</v>
      </c>
      <c r="E11" s="167">
        <f t="shared" si="1"/>
        <v>105</v>
      </c>
      <c r="F11" s="17" t="s">
        <v>428</v>
      </c>
      <c r="G11" s="20" t="s">
        <v>243</v>
      </c>
      <c r="H11" s="33" t="s">
        <v>405</v>
      </c>
      <c r="I11" s="29">
        <v>224500</v>
      </c>
      <c r="J11" s="54"/>
      <c r="K11" s="246"/>
    </row>
    <row r="12" spans="1:11" ht="14.25" customHeight="1">
      <c r="A12" s="158">
        <f t="shared" si="0"/>
        <v>9</v>
      </c>
      <c r="B12" s="166">
        <v>37271</v>
      </c>
      <c r="C12" s="166">
        <v>37288</v>
      </c>
      <c r="D12" s="166">
        <v>37313</v>
      </c>
      <c r="E12" s="167">
        <f t="shared" si="1"/>
        <v>42</v>
      </c>
      <c r="F12" s="20" t="s">
        <v>315</v>
      </c>
      <c r="G12" s="18" t="s">
        <v>244</v>
      </c>
      <c r="H12" s="33" t="s">
        <v>21</v>
      </c>
      <c r="I12" s="28">
        <v>124500</v>
      </c>
      <c r="J12" s="46"/>
      <c r="K12" s="20"/>
    </row>
    <row r="13" spans="1:11" ht="14.25" customHeight="1">
      <c r="A13" s="158">
        <f t="shared" si="0"/>
        <v>10</v>
      </c>
      <c r="B13" s="166">
        <v>37271</v>
      </c>
      <c r="C13" s="166">
        <v>37287</v>
      </c>
      <c r="D13" s="166">
        <v>37361</v>
      </c>
      <c r="E13" s="167">
        <f t="shared" si="1"/>
        <v>90</v>
      </c>
      <c r="F13" s="17" t="s">
        <v>308</v>
      </c>
      <c r="G13" s="20" t="s">
        <v>245</v>
      </c>
      <c r="H13" s="40" t="s">
        <v>405</v>
      </c>
      <c r="I13" s="29">
        <v>124500</v>
      </c>
      <c r="J13" s="46"/>
      <c r="K13" s="20"/>
    </row>
    <row r="14" spans="1:11" ht="12.75">
      <c r="A14" s="158">
        <f t="shared" si="0"/>
        <v>11</v>
      </c>
      <c r="B14" s="166">
        <v>37281</v>
      </c>
      <c r="C14" s="166">
        <v>37295</v>
      </c>
      <c r="D14" s="166">
        <v>37320</v>
      </c>
      <c r="E14" s="167">
        <f t="shared" si="1"/>
        <v>39</v>
      </c>
      <c r="F14" s="20" t="s">
        <v>316</v>
      </c>
      <c r="G14" s="20" t="s">
        <v>270</v>
      </c>
      <c r="H14" s="33" t="s">
        <v>197</v>
      </c>
      <c r="I14" s="28">
        <f>25000*1.2</f>
        <v>30000</v>
      </c>
      <c r="J14" s="46"/>
      <c r="K14" s="20"/>
    </row>
    <row r="15" spans="1:11" ht="25.5">
      <c r="A15" s="158">
        <f t="shared" si="0"/>
        <v>12</v>
      </c>
      <c r="B15" s="166">
        <v>37284</v>
      </c>
      <c r="C15" s="166">
        <v>37302</v>
      </c>
      <c r="D15" s="166">
        <v>37319</v>
      </c>
      <c r="E15" s="167">
        <f t="shared" si="1"/>
        <v>35</v>
      </c>
      <c r="F15" s="17" t="s">
        <v>317</v>
      </c>
      <c r="G15" s="18" t="s">
        <v>271</v>
      </c>
      <c r="H15" s="33" t="s">
        <v>406</v>
      </c>
      <c r="I15" s="29">
        <v>124500</v>
      </c>
      <c r="J15" s="46"/>
      <c r="K15" s="20"/>
    </row>
    <row r="16" spans="1:11" ht="12.75">
      <c r="A16" s="158">
        <f t="shared" si="0"/>
        <v>13</v>
      </c>
      <c r="B16" s="166">
        <v>37288</v>
      </c>
      <c r="C16" s="166" t="s">
        <v>196</v>
      </c>
      <c r="D16" s="166">
        <v>37393</v>
      </c>
      <c r="E16" s="167">
        <f t="shared" si="1"/>
        <v>105</v>
      </c>
      <c r="F16" s="20" t="s">
        <v>318</v>
      </c>
      <c r="G16" s="20" t="s">
        <v>107</v>
      </c>
      <c r="H16" s="33" t="s">
        <v>7</v>
      </c>
      <c r="I16" s="28">
        <v>33000</v>
      </c>
      <c r="J16" s="54"/>
      <c r="K16" s="20"/>
    </row>
    <row r="17" spans="1:11" ht="12.75">
      <c r="A17" s="158">
        <f t="shared" si="0"/>
        <v>14</v>
      </c>
      <c r="B17" s="166">
        <v>37292</v>
      </c>
      <c r="C17" s="166">
        <v>37306</v>
      </c>
      <c r="D17" s="166">
        <v>37344</v>
      </c>
      <c r="E17" s="167">
        <f t="shared" si="1"/>
        <v>52</v>
      </c>
      <c r="F17" s="20" t="s">
        <v>178</v>
      </c>
      <c r="G17" s="20" t="s">
        <v>244</v>
      </c>
      <c r="H17" s="64" t="s">
        <v>250</v>
      </c>
      <c r="I17" s="29">
        <v>20000</v>
      </c>
      <c r="J17" s="46"/>
      <c r="K17" s="20"/>
    </row>
    <row r="18" spans="1:11" ht="12.75">
      <c r="A18" s="158">
        <f t="shared" si="0"/>
        <v>15</v>
      </c>
      <c r="B18" s="166">
        <v>37300</v>
      </c>
      <c r="C18" s="166">
        <v>37302</v>
      </c>
      <c r="D18" s="166">
        <v>37361</v>
      </c>
      <c r="E18" s="167">
        <f t="shared" si="1"/>
        <v>61</v>
      </c>
      <c r="F18" s="20" t="s">
        <v>67</v>
      </c>
      <c r="G18" s="20" t="s">
        <v>262</v>
      </c>
      <c r="H18" s="33" t="s">
        <v>22</v>
      </c>
      <c r="I18" s="28">
        <v>15000</v>
      </c>
      <c r="J18" s="46"/>
      <c r="K18" s="20"/>
    </row>
    <row r="19" spans="1:11" ht="12.75">
      <c r="A19" s="158">
        <f t="shared" si="0"/>
        <v>16</v>
      </c>
      <c r="B19" s="166">
        <v>37301</v>
      </c>
      <c r="C19" s="166">
        <v>37390</v>
      </c>
      <c r="D19" s="166">
        <v>37390</v>
      </c>
      <c r="E19" s="167">
        <f t="shared" si="1"/>
        <v>89</v>
      </c>
      <c r="F19" s="19" t="s">
        <v>319</v>
      </c>
      <c r="G19" s="17" t="s">
        <v>247</v>
      </c>
      <c r="H19" s="40" t="s">
        <v>21</v>
      </c>
      <c r="I19" s="29">
        <v>0</v>
      </c>
      <c r="J19" s="54"/>
      <c r="K19" s="246"/>
    </row>
    <row r="20" spans="1:11" ht="12.75">
      <c r="A20" s="158">
        <f t="shared" si="0"/>
        <v>17</v>
      </c>
      <c r="B20" s="166">
        <v>37302</v>
      </c>
      <c r="C20" s="166" t="s">
        <v>196</v>
      </c>
      <c r="D20" s="166">
        <v>37361</v>
      </c>
      <c r="E20" s="167">
        <f t="shared" si="1"/>
        <v>59</v>
      </c>
      <c r="F20" s="18" t="s">
        <v>321</v>
      </c>
      <c r="G20" s="18" t="s">
        <v>212</v>
      </c>
      <c r="H20" s="65" t="s">
        <v>251</v>
      </c>
      <c r="I20" s="171">
        <v>0</v>
      </c>
      <c r="J20" s="46"/>
      <c r="K20" s="20"/>
    </row>
    <row r="21" spans="1:11" ht="12.75">
      <c r="A21" s="158">
        <f t="shared" si="0"/>
        <v>18</v>
      </c>
      <c r="B21" s="166">
        <v>37308</v>
      </c>
      <c r="C21" s="166">
        <v>37340</v>
      </c>
      <c r="D21" s="166">
        <v>37361</v>
      </c>
      <c r="E21" s="167">
        <f t="shared" si="1"/>
        <v>53</v>
      </c>
      <c r="F21" s="88" t="s">
        <v>169</v>
      </c>
      <c r="G21" s="18" t="s">
        <v>212</v>
      </c>
      <c r="H21" s="33" t="s">
        <v>252</v>
      </c>
      <c r="I21" s="28">
        <v>65000</v>
      </c>
      <c r="J21" s="46"/>
      <c r="K21" s="20"/>
    </row>
    <row r="22" spans="1:11" ht="12.75">
      <c r="A22" s="158">
        <f t="shared" si="0"/>
        <v>19</v>
      </c>
      <c r="B22" s="166">
        <v>37328</v>
      </c>
      <c r="C22" s="166">
        <v>37328</v>
      </c>
      <c r="D22" s="166">
        <v>37370</v>
      </c>
      <c r="E22" s="167">
        <f t="shared" si="1"/>
        <v>42</v>
      </c>
      <c r="F22" s="20" t="s">
        <v>322</v>
      </c>
      <c r="G22" s="85" t="s">
        <v>246</v>
      </c>
      <c r="H22" s="33" t="s">
        <v>405</v>
      </c>
      <c r="I22" s="28">
        <v>9000</v>
      </c>
      <c r="J22" s="46"/>
      <c r="K22" s="20"/>
    </row>
    <row r="23" spans="1:11" ht="12.75">
      <c r="A23" s="158">
        <f t="shared" si="0"/>
        <v>20</v>
      </c>
      <c r="B23" s="166">
        <v>37328</v>
      </c>
      <c r="C23" s="166">
        <v>37398</v>
      </c>
      <c r="D23" s="166">
        <v>37411</v>
      </c>
      <c r="E23" s="167">
        <f t="shared" si="1"/>
        <v>83</v>
      </c>
      <c r="F23" s="20" t="s">
        <v>322</v>
      </c>
      <c r="G23" s="85" t="s">
        <v>300</v>
      </c>
      <c r="H23" s="33" t="s">
        <v>8</v>
      </c>
      <c r="I23" s="28">
        <v>20000</v>
      </c>
      <c r="J23" s="54"/>
      <c r="K23" s="246"/>
    </row>
    <row r="24" spans="1:11" ht="12.75">
      <c r="A24" s="158">
        <f t="shared" si="0"/>
        <v>21</v>
      </c>
      <c r="B24" s="166">
        <v>37329</v>
      </c>
      <c r="C24" s="166">
        <v>37336</v>
      </c>
      <c r="D24" s="166">
        <v>37361</v>
      </c>
      <c r="E24" s="167">
        <f t="shared" si="1"/>
        <v>32</v>
      </c>
      <c r="F24" s="20" t="s">
        <v>323</v>
      </c>
      <c r="G24" s="18" t="s">
        <v>107</v>
      </c>
      <c r="H24" s="33" t="s">
        <v>456</v>
      </c>
      <c r="I24" s="28">
        <v>74500</v>
      </c>
      <c r="J24" s="46"/>
      <c r="K24" s="20"/>
    </row>
    <row r="25" spans="1:11" ht="12.75">
      <c r="A25" s="158">
        <f t="shared" si="0"/>
        <v>22</v>
      </c>
      <c r="B25" s="166">
        <v>37349</v>
      </c>
      <c r="C25" s="166">
        <v>37376</v>
      </c>
      <c r="D25" s="166">
        <v>37413</v>
      </c>
      <c r="E25" s="167">
        <f t="shared" si="1"/>
        <v>64</v>
      </c>
      <c r="F25" s="17" t="s">
        <v>320</v>
      </c>
      <c r="G25" s="20" t="s">
        <v>185</v>
      </c>
      <c r="H25" s="40" t="s">
        <v>10</v>
      </c>
      <c r="I25" s="61">
        <v>12000</v>
      </c>
      <c r="J25" s="54"/>
      <c r="K25" s="246"/>
    </row>
    <row r="26" spans="1:11" ht="25.5">
      <c r="A26" s="158">
        <f t="shared" si="0"/>
        <v>23</v>
      </c>
      <c r="B26" s="166">
        <v>37394</v>
      </c>
      <c r="C26" s="166">
        <v>37400</v>
      </c>
      <c r="D26" s="166">
        <v>37410</v>
      </c>
      <c r="E26" s="167">
        <f t="shared" si="1"/>
        <v>16</v>
      </c>
      <c r="F26" s="115" t="s">
        <v>324</v>
      </c>
      <c r="G26" s="85" t="s">
        <v>272</v>
      </c>
      <c r="H26" s="33" t="s">
        <v>405</v>
      </c>
      <c r="I26" s="28">
        <v>83000</v>
      </c>
      <c r="J26" s="54"/>
      <c r="K26" s="246"/>
    </row>
    <row r="27" spans="1:11" ht="25.5">
      <c r="A27" s="158">
        <f t="shared" si="0"/>
        <v>24</v>
      </c>
      <c r="B27" s="162">
        <v>37294</v>
      </c>
      <c r="C27" s="162">
        <v>37372</v>
      </c>
      <c r="D27" s="166">
        <v>37421</v>
      </c>
      <c r="E27" s="167">
        <f t="shared" si="1"/>
        <v>127</v>
      </c>
      <c r="F27" s="20" t="s">
        <v>325</v>
      </c>
      <c r="G27" s="20" t="s">
        <v>108</v>
      </c>
      <c r="H27" s="33" t="s">
        <v>21</v>
      </c>
      <c r="I27" s="121">
        <f>200000/6*5</f>
        <v>166666.6666666667</v>
      </c>
      <c r="J27" s="54"/>
      <c r="K27" s="246"/>
    </row>
    <row r="28" spans="1:11" ht="12.75">
      <c r="A28" s="158">
        <f t="shared" si="0"/>
        <v>25</v>
      </c>
      <c r="B28" s="162">
        <v>37369</v>
      </c>
      <c r="C28" s="162">
        <v>37391</v>
      </c>
      <c r="D28" s="166">
        <v>37427</v>
      </c>
      <c r="E28" s="167">
        <f t="shared" si="1"/>
        <v>58</v>
      </c>
      <c r="F28" s="88" t="s">
        <v>326</v>
      </c>
      <c r="G28" s="115" t="s">
        <v>193</v>
      </c>
      <c r="H28" s="143" t="s">
        <v>197</v>
      </c>
      <c r="I28" s="144">
        <v>75000</v>
      </c>
      <c r="J28" s="54"/>
      <c r="K28" s="246"/>
    </row>
    <row r="29" spans="1:11" ht="12.75">
      <c r="A29" s="158">
        <f t="shared" si="0"/>
        <v>26</v>
      </c>
      <c r="B29" s="162">
        <v>37420</v>
      </c>
      <c r="C29" s="162" t="s">
        <v>196</v>
      </c>
      <c r="D29" s="166">
        <v>37449</v>
      </c>
      <c r="E29" s="167">
        <f t="shared" si="1"/>
        <v>29</v>
      </c>
      <c r="F29" s="173" t="s">
        <v>320</v>
      </c>
      <c r="G29" s="186" t="s">
        <v>248</v>
      </c>
      <c r="H29" s="156" t="s">
        <v>21</v>
      </c>
      <c r="I29" s="157">
        <v>524500</v>
      </c>
      <c r="J29" s="54"/>
      <c r="K29" s="246"/>
    </row>
    <row r="30" spans="1:11" ht="12.75">
      <c r="A30" s="158">
        <f t="shared" si="0"/>
        <v>27</v>
      </c>
      <c r="B30" s="194">
        <v>37434</v>
      </c>
      <c r="C30" s="194">
        <v>37446</v>
      </c>
      <c r="D30" s="166">
        <v>37459</v>
      </c>
      <c r="E30" s="167">
        <f t="shared" si="1"/>
        <v>25</v>
      </c>
      <c r="F30" s="154" t="s">
        <v>345</v>
      </c>
      <c r="G30" s="186" t="s">
        <v>334</v>
      </c>
      <c r="H30" s="156" t="s">
        <v>197</v>
      </c>
      <c r="I30" s="213">
        <v>437000</v>
      </c>
      <c r="J30" s="54"/>
      <c r="K30" s="246"/>
    </row>
    <row r="31" spans="1:11" ht="12.75">
      <c r="A31" s="158">
        <f t="shared" si="0"/>
        <v>28</v>
      </c>
      <c r="B31" s="194">
        <v>37347</v>
      </c>
      <c r="C31" s="194">
        <v>37446</v>
      </c>
      <c r="D31" s="166">
        <v>37460</v>
      </c>
      <c r="E31" s="167">
        <f t="shared" si="1"/>
        <v>113</v>
      </c>
      <c r="F31" s="17" t="s">
        <v>327</v>
      </c>
      <c r="G31" s="17" t="s">
        <v>258</v>
      </c>
      <c r="H31" s="33" t="s">
        <v>405</v>
      </c>
      <c r="I31" s="28">
        <v>25000</v>
      </c>
      <c r="J31" s="54"/>
      <c r="K31" s="246"/>
    </row>
    <row r="32" spans="1:11" ht="12.75">
      <c r="A32" s="158">
        <f t="shared" si="0"/>
        <v>29</v>
      </c>
      <c r="B32" s="162">
        <v>37392</v>
      </c>
      <c r="C32" s="162">
        <v>37396</v>
      </c>
      <c r="D32" s="166">
        <v>37507</v>
      </c>
      <c r="E32" s="167">
        <f t="shared" si="1"/>
        <v>115</v>
      </c>
      <c r="F32" s="20" t="s">
        <v>340</v>
      </c>
      <c r="G32" s="85" t="s">
        <v>192</v>
      </c>
      <c r="H32" s="33" t="s">
        <v>8</v>
      </c>
      <c r="I32" s="28">
        <v>24000</v>
      </c>
      <c r="J32" s="54"/>
      <c r="K32" s="246"/>
    </row>
    <row r="33" spans="1:11" ht="12.75">
      <c r="A33" s="158">
        <f t="shared" si="0"/>
        <v>30</v>
      </c>
      <c r="B33" s="162">
        <v>37243</v>
      </c>
      <c r="C33" s="162">
        <v>37250</v>
      </c>
      <c r="D33" s="166">
        <v>37490</v>
      </c>
      <c r="E33" s="167">
        <f t="shared" si="1"/>
        <v>247</v>
      </c>
      <c r="F33" s="17" t="s">
        <v>170</v>
      </c>
      <c r="G33" s="20" t="s">
        <v>157</v>
      </c>
      <c r="H33" s="33" t="s">
        <v>8</v>
      </c>
      <c r="I33" s="30">
        <v>18900</v>
      </c>
      <c r="J33" s="54"/>
      <c r="K33" s="246"/>
    </row>
    <row r="34" spans="1:11" ht="12.75">
      <c r="A34" s="158">
        <f t="shared" si="0"/>
        <v>31</v>
      </c>
      <c r="B34" s="162">
        <v>37316</v>
      </c>
      <c r="C34" s="162">
        <v>37370</v>
      </c>
      <c r="D34" s="166">
        <v>37501</v>
      </c>
      <c r="E34" s="167">
        <f t="shared" si="1"/>
        <v>185</v>
      </c>
      <c r="F34" s="174" t="s">
        <v>285</v>
      </c>
      <c r="G34" s="85" t="s">
        <v>273</v>
      </c>
      <c r="H34" s="33" t="s">
        <v>22</v>
      </c>
      <c r="I34" s="28">
        <v>37000</v>
      </c>
      <c r="J34" s="54"/>
      <c r="K34" s="246"/>
    </row>
    <row r="35" spans="1:11" ht="12.75">
      <c r="A35" s="158">
        <f t="shared" si="0"/>
        <v>32</v>
      </c>
      <c r="B35" s="162">
        <v>37348</v>
      </c>
      <c r="C35" s="162">
        <v>37365</v>
      </c>
      <c r="D35" s="166">
        <v>37504</v>
      </c>
      <c r="E35" s="167">
        <f t="shared" si="1"/>
        <v>156</v>
      </c>
      <c r="F35" s="77" t="s">
        <v>286</v>
      </c>
      <c r="G35" s="85" t="s">
        <v>273</v>
      </c>
      <c r="H35" s="33" t="s">
        <v>22</v>
      </c>
      <c r="I35" s="28">
        <v>17000</v>
      </c>
      <c r="J35" s="54"/>
      <c r="K35" s="246"/>
    </row>
    <row r="36" spans="1:11" ht="12.75">
      <c r="A36" s="158">
        <f t="shared" si="0"/>
        <v>33</v>
      </c>
      <c r="B36" s="162">
        <v>37400</v>
      </c>
      <c r="C36" s="162">
        <v>37438</v>
      </c>
      <c r="D36" s="162">
        <v>37511</v>
      </c>
      <c r="E36" s="167">
        <f t="shared" si="1"/>
        <v>111</v>
      </c>
      <c r="F36" s="115" t="s">
        <v>318</v>
      </c>
      <c r="G36" s="85" t="s">
        <v>205</v>
      </c>
      <c r="H36" s="33" t="s">
        <v>10</v>
      </c>
      <c r="I36" s="213">
        <v>24900</v>
      </c>
      <c r="J36" s="54"/>
      <c r="K36" s="246"/>
    </row>
    <row r="37" spans="1:11" ht="12.75">
      <c r="A37" s="158">
        <f t="shared" si="0"/>
        <v>34</v>
      </c>
      <c r="B37" s="194">
        <v>37468</v>
      </c>
      <c r="C37" s="162">
        <v>37477</v>
      </c>
      <c r="D37" s="162">
        <v>37515</v>
      </c>
      <c r="E37" s="167">
        <f t="shared" si="1"/>
        <v>47</v>
      </c>
      <c r="F37" s="88" t="s">
        <v>171</v>
      </c>
      <c r="G37" s="186" t="s">
        <v>274</v>
      </c>
      <c r="H37" s="33" t="s">
        <v>405</v>
      </c>
      <c r="I37" s="157">
        <v>62000</v>
      </c>
      <c r="J37" s="54"/>
      <c r="K37" s="246"/>
    </row>
    <row r="38" spans="1:11" ht="12.75">
      <c r="A38" s="158">
        <f t="shared" si="0"/>
        <v>35</v>
      </c>
      <c r="B38" s="194">
        <v>37449</v>
      </c>
      <c r="C38" s="162">
        <v>37515</v>
      </c>
      <c r="D38" s="162">
        <v>37519</v>
      </c>
      <c r="E38" s="167">
        <f t="shared" si="1"/>
        <v>70</v>
      </c>
      <c r="F38" s="120" t="s">
        <v>288</v>
      </c>
      <c r="G38" s="186" t="s">
        <v>89</v>
      </c>
      <c r="H38" s="33" t="s">
        <v>8</v>
      </c>
      <c r="I38" s="157">
        <v>12076.19</v>
      </c>
      <c r="J38" s="54"/>
      <c r="K38" s="246"/>
    </row>
    <row r="39" spans="1:11" ht="25.5">
      <c r="A39" s="158">
        <f t="shared" si="0"/>
        <v>36</v>
      </c>
      <c r="B39" s="194">
        <v>37427</v>
      </c>
      <c r="C39" s="162">
        <v>37454</v>
      </c>
      <c r="D39" s="162">
        <v>37529</v>
      </c>
      <c r="E39" s="167">
        <f t="shared" si="1"/>
        <v>102</v>
      </c>
      <c r="F39" s="154" t="s">
        <v>172</v>
      </c>
      <c r="G39" s="115" t="s">
        <v>225</v>
      </c>
      <c r="H39" s="33" t="s">
        <v>10</v>
      </c>
      <c r="I39" s="213">
        <v>15304</v>
      </c>
      <c r="J39" s="54"/>
      <c r="K39" s="246"/>
    </row>
    <row r="40" spans="1:11" ht="12.75">
      <c r="A40" s="158">
        <f t="shared" si="0"/>
        <v>37</v>
      </c>
      <c r="B40" s="194">
        <v>37427</v>
      </c>
      <c r="C40" s="162">
        <v>37454</v>
      </c>
      <c r="D40" s="162">
        <v>37529</v>
      </c>
      <c r="E40" s="167">
        <f t="shared" si="1"/>
        <v>102</v>
      </c>
      <c r="F40" s="154" t="s">
        <v>172</v>
      </c>
      <c r="G40" s="115" t="s">
        <v>275</v>
      </c>
      <c r="H40" s="33" t="s">
        <v>10</v>
      </c>
      <c r="I40" s="213">
        <v>22080</v>
      </c>
      <c r="J40" s="54"/>
      <c r="K40" s="246"/>
    </row>
    <row r="41" spans="1:11" ht="12.75">
      <c r="A41" s="158">
        <f t="shared" si="0"/>
        <v>38</v>
      </c>
      <c r="B41" s="194">
        <v>37427</v>
      </c>
      <c r="C41" s="162">
        <v>37454</v>
      </c>
      <c r="D41" s="162">
        <v>37529</v>
      </c>
      <c r="E41" s="167">
        <f t="shared" si="1"/>
        <v>102</v>
      </c>
      <c r="F41" s="154" t="s">
        <v>172</v>
      </c>
      <c r="G41" s="115" t="s">
        <v>229</v>
      </c>
      <c r="H41" s="33" t="s">
        <v>10</v>
      </c>
      <c r="I41" s="213">
        <v>22392</v>
      </c>
      <c r="J41" s="54"/>
      <c r="K41" s="246"/>
    </row>
    <row r="42" spans="1:11" ht="25.5">
      <c r="A42" s="158">
        <f t="shared" si="0"/>
        <v>39</v>
      </c>
      <c r="B42" s="194">
        <v>37427</v>
      </c>
      <c r="C42" s="162">
        <v>37454</v>
      </c>
      <c r="D42" s="162">
        <v>37529</v>
      </c>
      <c r="E42" s="167">
        <f t="shared" si="1"/>
        <v>102</v>
      </c>
      <c r="F42" s="154" t="s">
        <v>172</v>
      </c>
      <c r="G42" s="115" t="s">
        <v>230</v>
      </c>
      <c r="H42" s="33" t="s">
        <v>10</v>
      </c>
      <c r="I42" s="213">
        <v>27212</v>
      </c>
      <c r="J42" s="54"/>
      <c r="K42" s="246"/>
    </row>
    <row r="43" spans="1:11" ht="12.75">
      <c r="A43" s="158">
        <f t="shared" si="0"/>
        <v>40</v>
      </c>
      <c r="B43" s="194">
        <v>37427</v>
      </c>
      <c r="C43" s="194">
        <v>37432</v>
      </c>
      <c r="D43" s="162">
        <v>37529</v>
      </c>
      <c r="E43" s="167">
        <f t="shared" si="1"/>
        <v>102</v>
      </c>
      <c r="F43" s="154" t="s">
        <v>172</v>
      </c>
      <c r="G43" s="186" t="s">
        <v>372</v>
      </c>
      <c r="H43" s="156" t="s">
        <v>10</v>
      </c>
      <c r="I43" s="213">
        <v>54324</v>
      </c>
      <c r="J43" s="54"/>
      <c r="K43" s="246"/>
    </row>
    <row r="44" spans="1:11" ht="12.75">
      <c r="A44" s="158">
        <f t="shared" si="0"/>
        <v>41</v>
      </c>
      <c r="B44" s="162">
        <v>37488</v>
      </c>
      <c r="C44" s="162">
        <v>37494</v>
      </c>
      <c r="D44" s="162">
        <v>37529</v>
      </c>
      <c r="E44" s="167">
        <f t="shared" si="1"/>
        <v>41</v>
      </c>
      <c r="F44" s="128" t="s">
        <v>326</v>
      </c>
      <c r="G44" s="20" t="s">
        <v>173</v>
      </c>
      <c r="H44" s="156" t="s">
        <v>87</v>
      </c>
      <c r="I44" s="157">
        <v>18651</v>
      </c>
      <c r="J44" s="54"/>
      <c r="K44" s="246"/>
    </row>
    <row r="45" spans="1:11" ht="12.75">
      <c r="A45" s="158">
        <f t="shared" si="0"/>
        <v>42</v>
      </c>
      <c r="B45" s="162">
        <v>37369</v>
      </c>
      <c r="C45" s="162">
        <v>37489</v>
      </c>
      <c r="D45" s="162">
        <v>37529</v>
      </c>
      <c r="E45" s="167">
        <f t="shared" si="1"/>
        <v>160</v>
      </c>
      <c r="F45" s="128" t="s">
        <v>326</v>
      </c>
      <c r="G45" s="186" t="s">
        <v>276</v>
      </c>
      <c r="H45" s="156" t="s">
        <v>87</v>
      </c>
      <c r="I45" s="157">
        <v>61700</v>
      </c>
      <c r="J45" s="54"/>
      <c r="K45" s="246"/>
    </row>
    <row r="46" spans="1:11" ht="12.75">
      <c r="A46" s="158">
        <f t="shared" si="0"/>
        <v>43</v>
      </c>
      <c r="B46" s="162">
        <v>37363</v>
      </c>
      <c r="C46" s="194">
        <v>37425</v>
      </c>
      <c r="D46" s="162">
        <v>37529</v>
      </c>
      <c r="E46" s="167">
        <f t="shared" si="1"/>
        <v>166</v>
      </c>
      <c r="F46" s="173" t="s">
        <v>161</v>
      </c>
      <c r="G46" s="20" t="s">
        <v>108</v>
      </c>
      <c r="H46" s="40" t="s">
        <v>240</v>
      </c>
      <c r="I46" s="213">
        <v>1245000</v>
      </c>
      <c r="J46" s="54"/>
      <c r="K46" s="246"/>
    </row>
    <row r="47" spans="1:11" ht="12.75">
      <c r="A47" s="158">
        <f t="shared" si="0"/>
        <v>44</v>
      </c>
      <c r="B47" s="341">
        <v>37532</v>
      </c>
      <c r="C47" s="342">
        <v>37543</v>
      </c>
      <c r="D47" s="342">
        <v>37546</v>
      </c>
      <c r="E47" s="167">
        <f t="shared" si="1"/>
        <v>14</v>
      </c>
      <c r="F47" s="120" t="s">
        <v>307</v>
      </c>
      <c r="G47" s="186" t="s">
        <v>174</v>
      </c>
      <c r="H47" s="33" t="s">
        <v>21</v>
      </c>
      <c r="I47" s="343">
        <v>124500</v>
      </c>
      <c r="J47" s="54"/>
      <c r="K47" s="246"/>
    </row>
    <row r="48" spans="1:11" ht="12.75">
      <c r="A48" s="158">
        <f t="shared" si="0"/>
        <v>45</v>
      </c>
      <c r="B48" s="194">
        <v>37424</v>
      </c>
      <c r="C48" s="194">
        <v>37434</v>
      </c>
      <c r="D48" s="162">
        <v>37550</v>
      </c>
      <c r="E48" s="167">
        <f t="shared" si="1"/>
        <v>126</v>
      </c>
      <c r="F48" s="154" t="s">
        <v>175</v>
      </c>
      <c r="G48" s="186" t="s">
        <v>176</v>
      </c>
      <c r="H48" s="156" t="s">
        <v>8</v>
      </c>
      <c r="I48" s="28">
        <v>72400</v>
      </c>
      <c r="J48" s="54"/>
      <c r="K48" s="246"/>
    </row>
    <row r="49" spans="1:11" ht="12.75">
      <c r="A49" s="158">
        <f t="shared" si="0"/>
        <v>46</v>
      </c>
      <c r="B49" s="194">
        <v>37547</v>
      </c>
      <c r="C49" s="194">
        <v>37551</v>
      </c>
      <c r="D49" s="194">
        <v>37559</v>
      </c>
      <c r="E49" s="167">
        <f t="shared" si="1"/>
        <v>12</v>
      </c>
      <c r="F49" s="236" t="s">
        <v>177</v>
      </c>
      <c r="G49" s="186" t="s">
        <v>5</v>
      </c>
      <c r="H49" s="230" t="s">
        <v>195</v>
      </c>
      <c r="I49" s="157">
        <v>26400</v>
      </c>
      <c r="J49" s="54"/>
      <c r="K49" s="246"/>
    </row>
    <row r="50" spans="1:11" ht="12.75">
      <c r="A50" s="158"/>
      <c r="B50" s="194"/>
      <c r="C50" s="194"/>
      <c r="D50" s="162"/>
      <c r="E50" s="167"/>
      <c r="F50" s="154"/>
      <c r="G50" s="186"/>
      <c r="H50" s="156"/>
      <c r="I50" s="28"/>
      <c r="J50" s="54"/>
      <c r="K50" s="246"/>
    </row>
    <row r="51" spans="1:11" ht="12.75">
      <c r="A51" s="51"/>
      <c r="B51" s="166"/>
      <c r="C51" s="166"/>
      <c r="D51" s="166"/>
      <c r="E51" s="167"/>
      <c r="F51" s="17"/>
      <c r="G51" s="20"/>
      <c r="H51" s="40"/>
      <c r="I51" s="53"/>
      <c r="J51" s="54"/>
      <c r="K51" s="247"/>
    </row>
    <row r="52" spans="1:10" ht="13.5" customHeight="1">
      <c r="A52" s="188">
        <f>MAX(A3:A51)</f>
        <v>46</v>
      </c>
      <c r="D52" s="84" t="s">
        <v>234</v>
      </c>
      <c r="E52" s="169">
        <f>AVERAGE(E4:E51)</f>
        <v>83.1086956521739</v>
      </c>
      <c r="F52" s="84" t="s">
        <v>235</v>
      </c>
      <c r="I52" s="55">
        <f>SUM(I4:I51)</f>
        <v>5844105.856666666</v>
      </c>
      <c r="J52" s="55"/>
    </row>
    <row r="53" spans="4:6" ht="12.75">
      <c r="D53" s="84" t="s">
        <v>236</v>
      </c>
      <c r="E53" s="169">
        <f>MEDIAN(E4:E51)</f>
        <v>76.5</v>
      </c>
      <c r="F53" s="84" t="s">
        <v>235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printOptions/>
  <pageMargins left="0.75" right="0.75" top="1" bottom="1" header="0.5" footer="0.5"/>
  <pageSetup fitToHeight="1" fitToWidth="1" horizontalDpi="300" verticalDpi="300" orientation="landscape" scale="52" r:id="rId3"/>
  <headerFooter alignWithMargins="0">
    <oddHeader>&amp;C&amp;"Arial,Bold"&amp;14Proposal and Lead Tracker&amp;R&amp;"Arial,Bold"&amp;14&amp;D</oddHeader>
    <oddFooter>&amp;C&amp;"Arial,Bold"&amp;14CONFIDENTIAL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9"/>
  <sheetViews>
    <sheetView workbookViewId="0" topLeftCell="A1">
      <pane ySplit="1" topLeftCell="BM2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3.140625" style="0" customWidth="1"/>
    <col min="2" max="2" width="9.57421875" style="3" customWidth="1"/>
    <col min="3" max="3" width="18.140625" style="1" customWidth="1"/>
    <col min="4" max="4" width="32.7109375" style="1" customWidth="1"/>
    <col min="5" max="5" width="12.00390625" style="1" customWidth="1"/>
    <col min="6" max="6" width="12.8515625" style="2" customWidth="1"/>
    <col min="7" max="7" width="11.28125" style="0" bestFit="1" customWidth="1"/>
    <col min="8" max="8" width="0.9921875" style="2" customWidth="1"/>
    <col min="9" max="9" width="27.7109375" style="1" customWidth="1"/>
    <col min="10" max="10" width="15.7109375" style="1" customWidth="1"/>
  </cols>
  <sheetData>
    <row r="1" spans="1:8" ht="15.75">
      <c r="A1" s="9" t="s">
        <v>94</v>
      </c>
      <c r="B1" s="8"/>
      <c r="C1"/>
      <c r="D1" s="4"/>
      <c r="F1"/>
      <c r="H1"/>
    </row>
    <row r="2" spans="1:9" ht="12.75">
      <c r="A2" s="12" t="s">
        <v>390</v>
      </c>
      <c r="B2" s="12" t="s">
        <v>384</v>
      </c>
      <c r="C2" s="47" t="s">
        <v>427</v>
      </c>
      <c r="D2" s="47" t="s">
        <v>379</v>
      </c>
      <c r="E2" s="12" t="s">
        <v>391</v>
      </c>
      <c r="F2" s="12" t="s">
        <v>387</v>
      </c>
      <c r="G2" s="12" t="s">
        <v>383</v>
      </c>
      <c r="H2" s="12"/>
      <c r="I2" s="12" t="s">
        <v>382</v>
      </c>
    </row>
    <row r="3" spans="1:9" ht="12.75">
      <c r="A3" s="15">
        <v>1</v>
      </c>
      <c r="B3" s="16">
        <v>37370</v>
      </c>
      <c r="C3" s="20" t="s">
        <v>50</v>
      </c>
      <c r="D3" s="85" t="s">
        <v>454</v>
      </c>
      <c r="E3" s="33" t="s">
        <v>22</v>
      </c>
      <c r="F3" s="28">
        <v>37000</v>
      </c>
      <c r="G3" s="40" t="s">
        <v>92</v>
      </c>
      <c r="H3" s="46"/>
      <c r="I3" s="20"/>
    </row>
    <row r="4" spans="1:9" ht="25.5">
      <c r="A4" s="15">
        <f>A3+1</f>
        <v>2</v>
      </c>
      <c r="B4" s="16">
        <v>37370</v>
      </c>
      <c r="C4" s="20" t="s">
        <v>350</v>
      </c>
      <c r="D4" s="85" t="s">
        <v>455</v>
      </c>
      <c r="E4" s="33" t="s">
        <v>418</v>
      </c>
      <c r="F4" s="28">
        <v>45000</v>
      </c>
      <c r="G4" s="40" t="s">
        <v>92</v>
      </c>
      <c r="H4" s="46"/>
      <c r="I4" s="20"/>
    </row>
    <row r="5" spans="1:9" ht="25.5">
      <c r="A5" s="15">
        <f>A4+1</f>
        <v>3</v>
      </c>
      <c r="B5" s="16">
        <v>37370</v>
      </c>
      <c r="C5" s="20" t="s">
        <v>308</v>
      </c>
      <c r="D5" s="85" t="s">
        <v>93</v>
      </c>
      <c r="E5" s="33" t="s">
        <v>418</v>
      </c>
      <c r="F5" s="28">
        <v>125000</v>
      </c>
      <c r="G5" s="40" t="s">
        <v>19</v>
      </c>
      <c r="H5" s="46"/>
      <c r="I5" s="20"/>
    </row>
    <row r="6" spans="1:8" ht="12.75">
      <c r="A6" s="15">
        <f>A5+1</f>
        <v>4</v>
      </c>
      <c r="B6" s="16">
        <v>37421</v>
      </c>
      <c r="C6" s="20" t="s">
        <v>340</v>
      </c>
      <c r="D6" s="85" t="s">
        <v>192</v>
      </c>
      <c r="E6" s="33" t="s">
        <v>8</v>
      </c>
      <c r="F6" s="28">
        <v>25000</v>
      </c>
      <c r="G6" s="40" t="s">
        <v>92</v>
      </c>
      <c r="H6" s="46"/>
    </row>
    <row r="7" spans="1:9" ht="12.75">
      <c r="A7" s="15">
        <f>A6+1</f>
        <v>5</v>
      </c>
      <c r="B7" s="16">
        <v>37462</v>
      </c>
      <c r="C7" s="20" t="s">
        <v>51</v>
      </c>
      <c r="D7" s="85" t="s">
        <v>262</v>
      </c>
      <c r="E7" s="33" t="s">
        <v>252</v>
      </c>
      <c r="F7" s="28">
        <v>53800</v>
      </c>
      <c r="G7" s="40" t="s">
        <v>19</v>
      </c>
      <c r="H7" s="46"/>
      <c r="I7" s="20"/>
    </row>
    <row r="8" spans="1:9" ht="12.75">
      <c r="A8" s="15"/>
      <c r="B8" s="16"/>
      <c r="C8" s="17"/>
      <c r="D8" s="20"/>
      <c r="E8" s="40"/>
      <c r="F8" s="23"/>
      <c r="G8" s="20"/>
      <c r="H8" s="48"/>
      <c r="I8" s="20"/>
    </row>
    <row r="9" spans="1:8" ht="12.75">
      <c r="A9" s="187">
        <f>MAX(A3:A8)</f>
        <v>5</v>
      </c>
      <c r="B9" s="8"/>
      <c r="C9"/>
      <c r="E9" s="5" t="s">
        <v>388</v>
      </c>
      <c r="F9" s="41">
        <f>SUM(F3:F8)</f>
        <v>285800</v>
      </c>
      <c r="H9" s="6"/>
    </row>
  </sheetData>
  <printOptions/>
  <pageMargins left="0.75" right="0.75" top="1" bottom="1" header="0.5" footer="0.5"/>
  <pageSetup horizontalDpi="300" verticalDpi="300" orientation="landscape" scale="80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9"/>
  <sheetViews>
    <sheetView workbookViewId="0" topLeftCell="A1">
      <selection activeCell="A9" sqref="A9"/>
    </sheetView>
  </sheetViews>
  <sheetFormatPr defaultColWidth="9.140625" defaultRowHeight="12.75"/>
  <cols>
    <col min="1" max="1" width="3.28125" style="0" customWidth="1"/>
    <col min="2" max="2" width="8.140625" style="8" bestFit="1" customWidth="1"/>
    <col min="3" max="3" width="18.57421875" style="0" customWidth="1"/>
    <col min="4" max="4" width="28.8515625" style="1" customWidth="1"/>
    <col min="5" max="5" width="11.7109375" style="1" customWidth="1"/>
    <col min="6" max="6" width="13.8515625" style="0" customWidth="1"/>
    <col min="7" max="7" width="2.140625" style="0" customWidth="1"/>
    <col min="8" max="8" width="17.28125" style="0" customWidth="1"/>
    <col min="9" max="9" width="27.00390625" style="1" customWidth="1"/>
  </cols>
  <sheetData>
    <row r="1" spans="1:4" ht="15" customHeight="1">
      <c r="A1" s="9" t="s">
        <v>395</v>
      </c>
      <c r="D1" s="4"/>
    </row>
    <row r="2" spans="1:9" s="39" customFormat="1" ht="15" customHeight="1">
      <c r="A2" s="12" t="s">
        <v>390</v>
      </c>
      <c r="B2" s="12" t="s">
        <v>384</v>
      </c>
      <c r="C2" s="47" t="s">
        <v>427</v>
      </c>
      <c r="D2" s="47" t="s">
        <v>379</v>
      </c>
      <c r="E2" s="12" t="s">
        <v>391</v>
      </c>
      <c r="F2" s="12" t="s">
        <v>387</v>
      </c>
      <c r="G2" s="12"/>
      <c r="H2" s="12" t="s">
        <v>383</v>
      </c>
      <c r="I2" s="12" t="s">
        <v>382</v>
      </c>
    </row>
    <row r="3" spans="1:9" s="19" customFormat="1" ht="12.75">
      <c r="A3" s="15">
        <v>0</v>
      </c>
      <c r="B3" s="162"/>
      <c r="C3" s="17"/>
      <c r="D3" s="17"/>
      <c r="E3" s="33"/>
      <c r="F3" s="28"/>
      <c r="G3" s="46"/>
      <c r="H3" s="40"/>
      <c r="I3" s="20"/>
    </row>
    <row r="4" spans="1:12" s="19" customFormat="1" ht="12.75">
      <c r="A4" s="15">
        <f>A3+1</f>
        <v>1</v>
      </c>
      <c r="B4" s="162">
        <v>37551</v>
      </c>
      <c r="C4" s="173" t="s">
        <v>353</v>
      </c>
      <c r="D4" s="186" t="s">
        <v>212</v>
      </c>
      <c r="E4" s="33" t="s">
        <v>21</v>
      </c>
      <c r="F4" s="157">
        <f>2500000/32</f>
        <v>78125</v>
      </c>
      <c r="G4" s="99"/>
      <c r="H4" s="40" t="s">
        <v>376</v>
      </c>
      <c r="I4" s="20"/>
      <c r="J4" s="197"/>
      <c r="K4" s="197"/>
      <c r="L4" s="197"/>
    </row>
    <row r="5" spans="1:12" s="19" customFormat="1" ht="12.75">
      <c r="A5" s="15">
        <f>A4+1</f>
        <v>2</v>
      </c>
      <c r="B5" s="162">
        <v>37551</v>
      </c>
      <c r="C5" s="173" t="s">
        <v>343</v>
      </c>
      <c r="D5" s="186" t="s">
        <v>329</v>
      </c>
      <c r="E5" s="33" t="s">
        <v>405</v>
      </c>
      <c r="F5" s="157">
        <v>33750</v>
      </c>
      <c r="G5" s="99"/>
      <c r="H5" s="40" t="s">
        <v>369</v>
      </c>
      <c r="I5" s="20"/>
      <c r="J5" s="197"/>
      <c r="K5" s="197"/>
      <c r="L5" s="197"/>
    </row>
    <row r="6" spans="1:12" s="19" customFormat="1" ht="12.75">
      <c r="A6" s="15"/>
      <c r="B6" s="162"/>
      <c r="C6" s="173"/>
      <c r="D6" s="186"/>
      <c r="E6" s="33"/>
      <c r="F6" s="157"/>
      <c r="G6" s="99"/>
      <c r="H6" s="40"/>
      <c r="I6" s="20"/>
      <c r="J6" s="197"/>
      <c r="K6" s="197"/>
      <c r="L6" s="197"/>
    </row>
    <row r="7" spans="1:9" s="19" customFormat="1" ht="12.75">
      <c r="A7" s="15"/>
      <c r="B7" s="162"/>
      <c r="C7" s="17"/>
      <c r="D7" s="20"/>
      <c r="E7" s="40"/>
      <c r="F7" s="23"/>
      <c r="G7" s="48"/>
      <c r="H7" s="20"/>
      <c r="I7" s="20"/>
    </row>
    <row r="8" spans="1:9" s="19" customFormat="1" ht="12.75">
      <c r="A8" s="15"/>
      <c r="B8" s="8"/>
      <c r="C8"/>
      <c r="D8" s="1"/>
      <c r="E8" s="5" t="s">
        <v>388</v>
      </c>
      <c r="F8" s="41">
        <f>SUM(F4:F7)</f>
        <v>111875</v>
      </c>
      <c r="G8" s="6"/>
      <c r="H8"/>
      <c r="I8" s="1"/>
    </row>
    <row r="9" spans="1:9" s="19" customFormat="1" ht="12.75">
      <c r="A9" s="187">
        <f>MAX(A3:A7)</f>
        <v>2</v>
      </c>
      <c r="B9" s="8"/>
      <c r="C9"/>
      <c r="D9" s="1"/>
      <c r="E9" s="1"/>
      <c r="F9"/>
      <c r="G9"/>
      <c r="H9"/>
      <c r="I9" s="1"/>
    </row>
    <row r="10" ht="18" customHeight="1"/>
  </sheetData>
  <printOptions/>
  <pageMargins left="0.75" right="0.75" top="1" bottom="1" header="0.5" footer="0.5"/>
  <pageSetup fitToWidth="4" horizontalDpi="300" verticalDpi="300" orientation="landscape" scale="85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DevBusiness/ru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Funnel Tracking System</dc:title>
  <dc:subject/>
  <dc:creator>Michael Kozloff</dc:creator>
  <cp:keywords/>
  <dc:description/>
  <cp:lastModifiedBy>Michael Kozloff</cp:lastModifiedBy>
  <cp:lastPrinted>2002-10-15T08:18:33Z</cp:lastPrinted>
  <dcterms:created xsi:type="dcterms:W3CDTF">1999-06-24T19:54:51Z</dcterms:created>
  <dcterms:modified xsi:type="dcterms:W3CDTF">2003-07-15T10:27:59Z</dcterms:modified>
  <cp:category>Sales Information System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-1017630574</vt:i4>
  </property>
  <property fmtid="{D5CDD505-2E9C-101B-9397-08002B2CF9AE}" pid="3" name="_EmailSubject">
    <vt:lpwstr>leads tracking prototype</vt:lpwstr>
  </property>
  <property fmtid="{D5CDD505-2E9C-101B-9397-08002B2CF9AE}" pid="4" name="_AuthorEmail">
    <vt:lpwstr>MKozloff@DevBusiness.Ru</vt:lpwstr>
  </property>
  <property fmtid="{D5CDD505-2E9C-101B-9397-08002B2CF9AE}" pid="5" name="_AuthorEmailDisplayName">
    <vt:lpwstr>Michael Kozloff</vt:lpwstr>
  </property>
  <property fmtid="{D5CDD505-2E9C-101B-9397-08002B2CF9AE}" pid="6" name="_ReviewingToolsShownOnce">
    <vt:lpwstr/>
  </property>
</Properties>
</file>